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hkel\Desktop\Tööd\b Lepalaane 221425\1 Lepalaane TEE projekt\"/>
    </mc:Choice>
  </mc:AlternateContent>
  <xr:revisionPtr revIDLastSave="0" documentId="13_ncr:1_{DC49F2E7-0ED7-4854-9D4C-4F3AEC871270}" xr6:coauthVersionLast="47" xr6:coauthVersionMax="47" xr10:uidLastSave="{00000000-0000-0000-0000-000000000000}"/>
  <bookViews>
    <workbookView xWindow="-120" yWindow="-120" windowWidth="16440" windowHeight="28440" activeTab="9" xr2:uid="{9378E3ED-16EB-4BBB-B5C3-EEB9B2527B86}"/>
  </bookViews>
  <sheets>
    <sheet name="T1" sheetId="10" r:id="rId1"/>
    <sheet name="T2" sheetId="9" r:id="rId2"/>
    <sheet name="T3" sheetId="6" r:id="rId3"/>
    <sheet name="T4" sheetId="5" r:id="rId4"/>
    <sheet name="T5" sheetId="4" r:id="rId5"/>
    <sheet name="T6" sheetId="7" r:id="rId6"/>
    <sheet name="T7" sheetId="1" r:id="rId7"/>
    <sheet name="T8" sheetId="2" r:id="rId8"/>
    <sheet name="T9" sheetId="3" r:id="rId9"/>
    <sheet name="T10" sheetId="11" r:id="rId10"/>
  </sheets>
  <externalReferences>
    <externalReference r:id="rId11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9" i="11" l="1"/>
  <c r="S34" i="11"/>
  <c r="A66" i="1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I24" i="9"/>
  <c r="I23" i="9"/>
  <c r="I22" i="9"/>
  <c r="I21" i="9"/>
  <c r="I20" i="9"/>
  <c r="S88" i="11" l="1"/>
  <c r="S89" i="11"/>
  <c r="P89" i="11"/>
  <c r="O88" i="11"/>
  <c r="L89" i="11"/>
  <c r="L88" i="11"/>
  <c r="I89" i="11"/>
  <c r="H88" i="11"/>
  <c r="G88" i="11"/>
  <c r="B89" i="11"/>
  <c r="B88" i="11"/>
  <c r="K75" i="11"/>
  <c r="R75" i="11" s="1"/>
  <c r="S75" i="11" s="1"/>
  <c r="B75" i="11"/>
  <c r="Q69" i="11"/>
  <c r="I69" i="11"/>
  <c r="P69" i="11" s="1"/>
  <c r="S69" i="11" s="1"/>
  <c r="J69" i="11"/>
  <c r="B69" i="11"/>
  <c r="I63" i="11"/>
  <c r="P63" i="11" s="1"/>
  <c r="J63" i="11"/>
  <c r="Q63" i="11" s="1"/>
  <c r="K63" i="11"/>
  <c r="R63" i="11" s="1"/>
  <c r="B63" i="11"/>
  <c r="I57" i="11"/>
  <c r="L57" i="11" s="1"/>
  <c r="B57" i="11"/>
  <c r="K32" i="11"/>
  <c r="R32" i="11" s="1"/>
  <c r="K36" i="11"/>
  <c r="R36" i="11" s="1"/>
  <c r="R40" i="11"/>
  <c r="K41" i="11"/>
  <c r="R41" i="11" s="1"/>
  <c r="R42" i="11"/>
  <c r="K43" i="11"/>
  <c r="R43" i="11" s="1"/>
  <c r="K44" i="11"/>
  <c r="R44" i="11" s="1"/>
  <c r="K31" i="11"/>
  <c r="R31" i="11" s="1"/>
  <c r="I32" i="11"/>
  <c r="P32" i="11" s="1"/>
  <c r="I33" i="11"/>
  <c r="P33" i="11" s="1"/>
  <c r="I34" i="11"/>
  <c r="P34" i="11" s="1"/>
  <c r="I35" i="11"/>
  <c r="P35" i="11" s="1"/>
  <c r="I36" i="11"/>
  <c r="P36" i="11" s="1"/>
  <c r="I37" i="11"/>
  <c r="P37" i="11" s="1"/>
  <c r="I38" i="11"/>
  <c r="P38" i="11" s="1"/>
  <c r="I39" i="11"/>
  <c r="P39" i="11" s="1"/>
  <c r="I40" i="11"/>
  <c r="P40" i="11" s="1"/>
  <c r="I41" i="11"/>
  <c r="P41" i="11" s="1"/>
  <c r="I42" i="11"/>
  <c r="P42" i="11" s="1"/>
  <c r="I43" i="11"/>
  <c r="P43" i="11" s="1"/>
  <c r="I44" i="11"/>
  <c r="P44" i="11" s="1"/>
  <c r="I31" i="11"/>
  <c r="P31" i="11" s="1"/>
  <c r="H32" i="11"/>
  <c r="O32" i="11" s="1"/>
  <c r="H33" i="11"/>
  <c r="O33" i="11" s="1"/>
  <c r="H34" i="11"/>
  <c r="O34" i="11" s="1"/>
  <c r="H36" i="11"/>
  <c r="O36" i="11" s="1"/>
  <c r="H37" i="11"/>
  <c r="O37" i="11" s="1"/>
  <c r="H38" i="11"/>
  <c r="O38" i="11" s="1"/>
  <c r="H40" i="11"/>
  <c r="O40" i="11" s="1"/>
  <c r="H41" i="11"/>
  <c r="O41" i="11" s="1"/>
  <c r="H42" i="11"/>
  <c r="O42" i="11" s="1"/>
  <c r="H43" i="11"/>
  <c r="O43" i="11" s="1"/>
  <c r="H44" i="11"/>
  <c r="O44" i="11" s="1"/>
  <c r="H31" i="11"/>
  <c r="G32" i="11"/>
  <c r="G33" i="11"/>
  <c r="G34" i="11"/>
  <c r="G35" i="11"/>
  <c r="G36" i="11"/>
  <c r="G37" i="11"/>
  <c r="G38" i="11"/>
  <c r="G39" i="11"/>
  <c r="G41" i="11"/>
  <c r="G44" i="11"/>
  <c r="G31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30" i="11"/>
  <c r="A9" i="11"/>
  <c r="L42" i="10"/>
  <c r="A43" i="10"/>
  <c r="A44" i="10" s="1"/>
  <c r="A45" i="10" s="1"/>
  <c r="A46" i="10" s="1"/>
  <c r="A47" i="10" s="1"/>
  <c r="A48" i="10" s="1"/>
  <c r="A39" i="10"/>
  <c r="A40" i="10" s="1"/>
  <c r="A41" i="10" s="1"/>
  <c r="A42" i="10" s="1"/>
  <c r="K42" i="10"/>
  <c r="I42" i="10"/>
  <c r="H42" i="10"/>
  <c r="K41" i="10"/>
  <c r="L41" i="10" s="1"/>
  <c r="I41" i="10"/>
  <c r="H41" i="10"/>
  <c r="I40" i="10"/>
  <c r="L40" i="10" s="1"/>
  <c r="H40" i="10"/>
  <c r="K39" i="10"/>
  <c r="I39" i="10"/>
  <c r="H39" i="10"/>
  <c r="L39" i="10" s="1"/>
  <c r="I38" i="10"/>
  <c r="H38" i="10"/>
  <c r="K34" i="10"/>
  <c r="I34" i="10"/>
  <c r="I35" i="10"/>
  <c r="I36" i="10"/>
  <c r="I37" i="10"/>
  <c r="H35" i="10"/>
  <c r="L35" i="10" s="1"/>
  <c r="H36" i="10"/>
  <c r="H34" i="10"/>
  <c r="K30" i="10"/>
  <c r="I30" i="10"/>
  <c r="I31" i="10"/>
  <c r="I32" i="10"/>
  <c r="I33" i="10"/>
  <c r="L33" i="10" s="1"/>
  <c r="H31" i="10"/>
  <c r="L31" i="10" s="1"/>
  <c r="H32" i="10"/>
  <c r="H30" i="10"/>
  <c r="L32" i="10"/>
  <c r="L36" i="10"/>
  <c r="K29" i="10"/>
  <c r="I29" i="10"/>
  <c r="H29" i="10"/>
  <c r="G23" i="11"/>
  <c r="B28" i="11"/>
  <c r="B27" i="11"/>
  <c r="B24" i="11"/>
  <c r="B25" i="11"/>
  <c r="B26" i="11"/>
  <c r="B23" i="11"/>
  <c r="B22" i="11"/>
  <c r="Q15" i="11"/>
  <c r="Q16" i="11"/>
  <c r="O15" i="11"/>
  <c r="O16" i="11"/>
  <c r="G9" i="11"/>
  <c r="G10" i="11"/>
  <c r="B9" i="11"/>
  <c r="B10" i="11"/>
  <c r="G11" i="11"/>
  <c r="G12" i="11"/>
  <c r="G13" i="11"/>
  <c r="G14" i="11"/>
  <c r="G15" i="11"/>
  <c r="G16" i="11"/>
  <c r="G17" i="11"/>
  <c r="G18" i="11"/>
  <c r="B11" i="11"/>
  <c r="B12" i="11"/>
  <c r="B13" i="11"/>
  <c r="B14" i="11"/>
  <c r="B15" i="11"/>
  <c r="B16" i="11"/>
  <c r="B17" i="11"/>
  <c r="B18" i="11"/>
  <c r="L71" i="10"/>
  <c r="P31" i="7"/>
  <c r="R31" i="7"/>
  <c r="R32" i="7"/>
  <c r="P32" i="7"/>
  <c r="P21" i="7"/>
  <c r="P22" i="7"/>
  <c r="P23" i="7"/>
  <c r="P24" i="7"/>
  <c r="P25" i="7"/>
  <c r="P26" i="7"/>
  <c r="P27" i="7"/>
  <c r="P28" i="7"/>
  <c r="P29" i="7"/>
  <c r="P30" i="7"/>
  <c r="P20" i="7"/>
  <c r="R21" i="7"/>
  <c r="R22" i="7"/>
  <c r="R23" i="7"/>
  <c r="R24" i="7"/>
  <c r="R25" i="7"/>
  <c r="R26" i="7"/>
  <c r="R27" i="7"/>
  <c r="R28" i="7"/>
  <c r="R29" i="7"/>
  <c r="R30" i="7"/>
  <c r="R20" i="7"/>
  <c r="K46" i="10"/>
  <c r="J46" i="10"/>
  <c r="I45" i="10"/>
  <c r="H45" i="10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L85" i="10"/>
  <c r="L83" i="10"/>
  <c r="L84" i="10"/>
  <c r="P17" i="7"/>
  <c r="H26" i="10" s="1"/>
  <c r="H27" i="11" s="1"/>
  <c r="O27" i="11" s="1"/>
  <c r="R17" i="7"/>
  <c r="R16" i="7"/>
  <c r="I23" i="10"/>
  <c r="I24" i="10" s="1"/>
  <c r="I25" i="10" s="1"/>
  <c r="I26" i="11" s="1"/>
  <c r="P26" i="11" s="1"/>
  <c r="H23" i="10"/>
  <c r="H24" i="11" s="1"/>
  <c r="I22" i="10"/>
  <c r="I23" i="11" s="1"/>
  <c r="P23" i="11" s="1"/>
  <c r="H22" i="10"/>
  <c r="H23" i="11" s="1"/>
  <c r="O23" i="11" s="1"/>
  <c r="K15" i="10"/>
  <c r="K16" i="10" s="1"/>
  <c r="K16" i="11" s="1"/>
  <c r="R16" i="11" s="1"/>
  <c r="K13" i="10"/>
  <c r="K14" i="10" s="1"/>
  <c r="K14" i="11" s="1"/>
  <c r="R14" i="11" s="1"/>
  <c r="J13" i="10"/>
  <c r="J14" i="10" s="1"/>
  <c r="J17" i="10" s="1"/>
  <c r="J18" i="10" s="1"/>
  <c r="J18" i="11" s="1"/>
  <c r="Q18" i="11" s="1"/>
  <c r="U44" i="7"/>
  <c r="V44" i="7"/>
  <c r="U43" i="7"/>
  <c r="I15" i="10"/>
  <c r="I15" i="11" s="1"/>
  <c r="I13" i="10"/>
  <c r="I14" i="10" s="1"/>
  <c r="I14" i="11" s="1"/>
  <c r="P14" i="11" s="1"/>
  <c r="I11" i="10"/>
  <c r="I12" i="10" s="1"/>
  <c r="I12" i="11" s="1"/>
  <c r="P12" i="11" s="1"/>
  <c r="I9" i="10"/>
  <c r="I10" i="10" s="1"/>
  <c r="I10" i="11" s="1"/>
  <c r="P10" i="11" s="1"/>
  <c r="H13" i="10"/>
  <c r="H13" i="11" s="1"/>
  <c r="O13" i="11" s="1"/>
  <c r="H11" i="10"/>
  <c r="H11" i="11" s="1"/>
  <c r="H9" i="10"/>
  <c r="H10" i="10" s="1"/>
  <c r="H10" i="11" s="1"/>
  <c r="O10" i="11" s="1"/>
  <c r="L69" i="11" l="1"/>
  <c r="L75" i="11"/>
  <c r="L63" i="11"/>
  <c r="S63" i="11"/>
  <c r="P57" i="11"/>
  <c r="S57" i="11" s="1"/>
  <c r="S42" i="11"/>
  <c r="L39" i="11"/>
  <c r="L31" i="11"/>
  <c r="S41" i="11"/>
  <c r="L35" i="11"/>
  <c r="L42" i="11"/>
  <c r="L38" i="11"/>
  <c r="L34" i="11"/>
  <c r="O31" i="11"/>
  <c r="S31" i="11" s="1"/>
  <c r="L41" i="11"/>
  <c r="L37" i="11"/>
  <c r="L33" i="11"/>
  <c r="L43" i="11"/>
  <c r="L44" i="11"/>
  <c r="L40" i="11"/>
  <c r="L36" i="11"/>
  <c r="L32" i="11"/>
  <c r="S32" i="11"/>
  <c r="S37" i="11"/>
  <c r="S36" i="11"/>
  <c r="S44" i="11"/>
  <c r="S40" i="11"/>
  <c r="S43" i="11"/>
  <c r="S35" i="11"/>
  <c r="S38" i="11"/>
  <c r="S33" i="11"/>
  <c r="L29" i="10"/>
  <c r="L34" i="10"/>
  <c r="L30" i="10"/>
  <c r="L38" i="10"/>
  <c r="L37" i="10"/>
  <c r="J14" i="11"/>
  <c r="Q14" i="11" s="1"/>
  <c r="J13" i="11"/>
  <c r="Q13" i="11" s="1"/>
  <c r="J17" i="11"/>
  <c r="Q17" i="11" s="1"/>
  <c r="L23" i="11"/>
  <c r="S23" i="11"/>
  <c r="O24" i="11"/>
  <c r="K15" i="11"/>
  <c r="R15" i="11" s="1"/>
  <c r="I13" i="11"/>
  <c r="P13" i="11" s="1"/>
  <c r="I11" i="11"/>
  <c r="P11" i="11" s="1"/>
  <c r="I9" i="11"/>
  <c r="P9" i="11" s="1"/>
  <c r="I24" i="11"/>
  <c r="P24" i="11" s="1"/>
  <c r="H9" i="11"/>
  <c r="O9" i="11" s="1"/>
  <c r="K13" i="11"/>
  <c r="R13" i="11" s="1"/>
  <c r="I25" i="11"/>
  <c r="P25" i="11" s="1"/>
  <c r="L15" i="11"/>
  <c r="S10" i="11"/>
  <c r="L10" i="11"/>
  <c r="O11" i="11"/>
  <c r="P15" i="11"/>
  <c r="L46" i="10"/>
  <c r="I26" i="10"/>
  <c r="I27" i="10"/>
  <c r="I28" i="11" s="1"/>
  <c r="P28" i="11" s="1"/>
  <c r="L23" i="10"/>
  <c r="L15" i="10"/>
  <c r="H24" i="10"/>
  <c r="H27" i="10"/>
  <c r="H28" i="11" s="1"/>
  <c r="L22" i="10"/>
  <c r="K17" i="10"/>
  <c r="I16" i="10"/>
  <c r="L13" i="10"/>
  <c r="L11" i="10"/>
  <c r="L9" i="10"/>
  <c r="L10" i="10"/>
  <c r="H14" i="10"/>
  <c r="H12" i="10"/>
  <c r="S11" i="11" l="1"/>
  <c r="S45" i="11"/>
  <c r="S9" i="11"/>
  <c r="L24" i="11"/>
  <c r="S24" i="11"/>
  <c r="S15" i="11"/>
  <c r="S13" i="11"/>
  <c r="L12" i="10"/>
  <c r="H12" i="11"/>
  <c r="L9" i="11"/>
  <c r="K18" i="10"/>
  <c r="K18" i="11" s="1"/>
  <c r="R18" i="11" s="1"/>
  <c r="K17" i="11"/>
  <c r="R17" i="11" s="1"/>
  <c r="L11" i="11"/>
  <c r="L14" i="10"/>
  <c r="H14" i="11"/>
  <c r="O28" i="11"/>
  <c r="S28" i="11" s="1"/>
  <c r="L28" i="11"/>
  <c r="L13" i="11"/>
  <c r="L16" i="10"/>
  <c r="I16" i="11"/>
  <c r="H25" i="10"/>
  <c r="H25" i="11"/>
  <c r="L26" i="10"/>
  <c r="I27" i="11"/>
  <c r="L24" i="10"/>
  <c r="L27" i="10"/>
  <c r="I17" i="10"/>
  <c r="H17" i="10"/>
  <c r="L25" i="10" l="1"/>
  <c r="H26" i="11"/>
  <c r="P27" i="11"/>
  <c r="S27" i="11" s="1"/>
  <c r="L27" i="11"/>
  <c r="O12" i="11"/>
  <c r="S12" i="11" s="1"/>
  <c r="L12" i="11"/>
  <c r="L25" i="11"/>
  <c r="O25" i="11"/>
  <c r="S25" i="11" s="1"/>
  <c r="H18" i="10"/>
  <c r="H17" i="11"/>
  <c r="P16" i="11"/>
  <c r="S16" i="11" s="1"/>
  <c r="L16" i="11"/>
  <c r="I18" i="10"/>
  <c r="I18" i="11" s="1"/>
  <c r="P18" i="11" s="1"/>
  <c r="I17" i="11"/>
  <c r="P17" i="11" s="1"/>
  <c r="L14" i="11"/>
  <c r="O14" i="11"/>
  <c r="S14" i="11" s="1"/>
  <c r="L17" i="10"/>
  <c r="O17" i="11" l="1"/>
  <c r="S17" i="11" s="1"/>
  <c r="L17" i="11"/>
  <c r="L26" i="11"/>
  <c r="O26" i="11"/>
  <c r="S26" i="11" s="1"/>
  <c r="S29" i="11" s="1"/>
  <c r="L18" i="10"/>
  <c r="H18" i="11"/>
  <c r="L18" i="11" l="1"/>
  <c r="O18" i="11"/>
  <c r="S18" i="11" s="1"/>
  <c r="T42" i="7" l="1"/>
  <c r="U42" i="7"/>
  <c r="X21" i="7"/>
  <c r="Y21" i="7"/>
  <c r="X22" i="7"/>
  <c r="Y22" i="7"/>
  <c r="X23" i="7"/>
  <c r="Y23" i="7"/>
  <c r="X24" i="7"/>
  <c r="Y24" i="7"/>
  <c r="X25" i="7"/>
  <c r="Y25" i="7"/>
  <c r="X26" i="7"/>
  <c r="Y26" i="7"/>
  <c r="X27" i="7"/>
  <c r="Y27" i="7"/>
  <c r="X28" i="7"/>
  <c r="Y28" i="7"/>
  <c r="X29" i="7"/>
  <c r="Y29" i="7"/>
  <c r="X30" i="7"/>
  <c r="Y30" i="7"/>
  <c r="X31" i="7"/>
  <c r="Y31" i="7"/>
  <c r="X32" i="7"/>
  <c r="Y32" i="7"/>
  <c r="U32" i="7"/>
  <c r="T32" i="7"/>
  <c r="S32" i="7"/>
  <c r="U31" i="7"/>
  <c r="T31" i="7"/>
  <c r="S31" i="7"/>
  <c r="S30" i="7"/>
  <c r="T29" i="7"/>
  <c r="U28" i="7"/>
  <c r="T28" i="7"/>
  <c r="T27" i="7"/>
  <c r="U27" i="7"/>
  <c r="U26" i="7"/>
  <c r="T26" i="7"/>
  <c r="S22" i="7"/>
  <c r="U23" i="7"/>
  <c r="T23" i="7"/>
  <c r="S23" i="7"/>
  <c r="S25" i="7"/>
  <c r="U24" i="7"/>
  <c r="V24" i="7"/>
  <c r="U21" i="7"/>
  <c r="T21" i="7"/>
  <c r="S21" i="7"/>
  <c r="U22" i="7"/>
  <c r="T22" i="7"/>
  <c r="D25" i="2"/>
  <c r="D20" i="2"/>
  <c r="D15" i="2"/>
  <c r="T54" i="1"/>
  <c r="Z22" i="1"/>
  <c r="E26" i="2"/>
  <c r="D26" i="2"/>
  <c r="E25" i="2"/>
  <c r="E23" i="2"/>
  <c r="E22" i="2"/>
  <c r="E21" i="2"/>
  <c r="E20" i="2"/>
  <c r="D22" i="2"/>
  <c r="D21" i="2"/>
  <c r="Q56" i="1"/>
  <c r="M22" i="1"/>
  <c r="M54" i="1"/>
  <c r="E18" i="2"/>
  <c r="E17" i="2"/>
  <c r="E16" i="2"/>
  <c r="E15" i="2"/>
  <c r="D17" i="2"/>
  <c r="D16" i="2"/>
  <c r="A48" i="1"/>
  <c r="A49" i="1" s="1"/>
  <c r="A50" i="1" s="1"/>
  <c r="A51" i="1" s="1"/>
  <c r="A52" i="1" s="1"/>
  <c r="A53" i="1" s="1"/>
  <c r="T48" i="1"/>
  <c r="T49" i="1"/>
  <c r="T50" i="1"/>
  <c r="T51" i="1"/>
  <c r="T52" i="1"/>
  <c r="T53" i="1"/>
  <c r="P53" i="1"/>
  <c r="L53" i="1"/>
  <c r="P52" i="1"/>
  <c r="L52" i="1"/>
  <c r="P51" i="1"/>
  <c r="L51" i="1"/>
  <c r="P50" i="1"/>
  <c r="L50" i="1"/>
  <c r="P49" i="1"/>
  <c r="P48" i="1"/>
  <c r="L49" i="1"/>
  <c r="L48" i="1"/>
  <c r="P38" i="1"/>
  <c r="T38" i="1" s="1"/>
  <c r="L38" i="1"/>
  <c r="P37" i="1"/>
  <c r="T37" i="1" s="1"/>
  <c r="L37" i="1"/>
  <c r="P36" i="1"/>
  <c r="T36" i="1" s="1"/>
  <c r="L36" i="1"/>
  <c r="P35" i="1"/>
  <c r="T35" i="1" s="1"/>
  <c r="L35" i="1"/>
  <c r="L33" i="1"/>
  <c r="H91" i="7"/>
  <c r="E91" i="7"/>
  <c r="J91" i="7" s="1"/>
  <c r="T17" i="7"/>
  <c r="T16" i="7"/>
  <c r="T15" i="7"/>
  <c r="T14" i="7"/>
  <c r="S11" i="7"/>
  <c r="R14" i="7"/>
  <c r="A21" i="7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K32" i="7"/>
  <c r="M32" i="7" s="1"/>
  <c r="K31" i="7"/>
  <c r="M31" i="7" s="1"/>
  <c r="K30" i="7"/>
  <c r="M30" i="7" s="1"/>
  <c r="K29" i="7"/>
  <c r="M29" i="7" s="1"/>
  <c r="K28" i="7"/>
  <c r="M28" i="7" s="1"/>
  <c r="K27" i="7"/>
  <c r="M27" i="7" s="1"/>
  <c r="K25" i="7"/>
  <c r="M25" i="7" s="1"/>
  <c r="K26" i="7"/>
  <c r="M26" i="7" s="1"/>
  <c r="K24" i="7"/>
  <c r="M24" i="7" s="1"/>
  <c r="K23" i="7"/>
  <c r="M23" i="7" s="1"/>
  <c r="K22" i="7"/>
  <c r="M22" i="7" s="1"/>
  <c r="K21" i="7"/>
  <c r="M21" i="7" s="1"/>
  <c r="U33" i="7"/>
  <c r="T33" i="7"/>
  <c r="K14" i="7"/>
  <c r="M14" i="7" s="1"/>
  <c r="K15" i="7"/>
  <c r="M15" i="7" s="1"/>
  <c r="R15" i="7" s="1"/>
  <c r="K16" i="7"/>
  <c r="M16" i="7" s="1"/>
  <c r="K17" i="7"/>
  <c r="M17" i="7" s="1"/>
  <c r="K13" i="7"/>
  <c r="U15" i="7"/>
  <c r="S15" i="7"/>
  <c r="X15" i="7" s="1"/>
  <c r="Y15" i="7" s="1"/>
  <c r="S17" i="7"/>
  <c r="U17" i="7"/>
  <c r="S16" i="7"/>
  <c r="U16" i="7"/>
  <c r="S14" i="7"/>
  <c r="U14" i="7"/>
  <c r="G29" i="9"/>
  <c r="H90" i="11"/>
  <c r="I90" i="11"/>
  <c r="P90" i="11" s="1"/>
  <c r="J90" i="11"/>
  <c r="Q90" i="11" s="1"/>
  <c r="K90" i="11"/>
  <c r="R90" i="11" s="1"/>
  <c r="G90" i="11"/>
  <c r="G87" i="11"/>
  <c r="B90" i="11"/>
  <c r="B87" i="11"/>
  <c r="I58" i="11"/>
  <c r="P58" i="11" s="1"/>
  <c r="I59" i="11"/>
  <c r="L59" i="11" s="1"/>
  <c r="I60" i="11"/>
  <c r="P60" i="11" s="1"/>
  <c r="H74" i="11"/>
  <c r="O74" i="11" s="1"/>
  <c r="H76" i="11"/>
  <c r="O76" i="11" s="1"/>
  <c r="K76" i="11"/>
  <c r="R76" i="11" s="1"/>
  <c r="H77" i="11"/>
  <c r="K77" i="11"/>
  <c r="R77" i="11" s="1"/>
  <c r="H78" i="11"/>
  <c r="O78" i="11" s="1"/>
  <c r="K78" i="11"/>
  <c r="R78" i="11" s="1"/>
  <c r="G73" i="11"/>
  <c r="G79" i="11"/>
  <c r="G84" i="11"/>
  <c r="G61" i="11"/>
  <c r="G67" i="11"/>
  <c r="G56" i="11"/>
  <c r="B76" i="11"/>
  <c r="B77" i="11"/>
  <c r="B78" i="11"/>
  <c r="B79" i="11"/>
  <c r="B80" i="11"/>
  <c r="B81" i="11"/>
  <c r="B82" i="11"/>
  <c r="B83" i="11"/>
  <c r="B84" i="11"/>
  <c r="B66" i="11"/>
  <c r="B67" i="11"/>
  <c r="B68" i="11"/>
  <c r="B70" i="11"/>
  <c r="B71" i="11"/>
  <c r="B72" i="11"/>
  <c r="B73" i="11"/>
  <c r="B74" i="11"/>
  <c r="B58" i="11"/>
  <c r="B59" i="11"/>
  <c r="B60" i="11"/>
  <c r="B61" i="11"/>
  <c r="B62" i="11"/>
  <c r="B64" i="11"/>
  <c r="B65" i="11"/>
  <c r="B56" i="11"/>
  <c r="B55" i="11"/>
  <c r="G52" i="11"/>
  <c r="G53" i="11"/>
  <c r="B52" i="11"/>
  <c r="B53" i="11"/>
  <c r="B51" i="11"/>
  <c r="B50" i="11"/>
  <c r="B48" i="11"/>
  <c r="B47" i="11"/>
  <c r="B46" i="11"/>
  <c r="G20" i="11"/>
  <c r="G19" i="11"/>
  <c r="B8" i="11"/>
  <c r="B20" i="11"/>
  <c r="B19" i="11"/>
  <c r="G7" i="11"/>
  <c r="B7" i="11"/>
  <c r="B86" i="11"/>
  <c r="I82" i="10"/>
  <c r="I87" i="11" s="1"/>
  <c r="P87" i="11" s="1"/>
  <c r="J82" i="10"/>
  <c r="J87" i="11" s="1"/>
  <c r="Q87" i="11" s="1"/>
  <c r="K82" i="10"/>
  <c r="K87" i="11" s="1"/>
  <c r="R87" i="11" s="1"/>
  <c r="H82" i="10"/>
  <c r="I80" i="10"/>
  <c r="I84" i="11" s="1"/>
  <c r="P84" i="11" s="1"/>
  <c r="J80" i="10"/>
  <c r="J84" i="11" s="1"/>
  <c r="Q84" i="11" s="1"/>
  <c r="H80" i="10"/>
  <c r="I75" i="10"/>
  <c r="I79" i="10" s="1"/>
  <c r="I83" i="11" s="1"/>
  <c r="P83" i="11" s="1"/>
  <c r="J75" i="10"/>
  <c r="J77" i="10" s="1"/>
  <c r="J81" i="11" s="1"/>
  <c r="Q81" i="11" s="1"/>
  <c r="K69" i="10"/>
  <c r="K73" i="11" s="1"/>
  <c r="H69" i="10"/>
  <c r="H73" i="11" s="1"/>
  <c r="I63" i="10"/>
  <c r="J63" i="10"/>
  <c r="H63" i="10"/>
  <c r="H68" i="10" s="1"/>
  <c r="H72" i="11" s="1"/>
  <c r="O72" i="11" s="1"/>
  <c r="I57" i="10"/>
  <c r="J57" i="10"/>
  <c r="K57" i="10"/>
  <c r="H57" i="10"/>
  <c r="I52" i="10"/>
  <c r="L52" i="10" s="1"/>
  <c r="I12" i="3"/>
  <c r="H50" i="10" s="1"/>
  <c r="H53" i="11" s="1"/>
  <c r="I40" i="3"/>
  <c r="I52" i="3"/>
  <c r="J50" i="10" s="1"/>
  <c r="J53" i="11" s="1"/>
  <c r="Q53" i="11" s="1"/>
  <c r="I56" i="3"/>
  <c r="K50" i="10" s="1"/>
  <c r="K53" i="11" s="1"/>
  <c r="R53" i="11" s="1"/>
  <c r="I50" i="10"/>
  <c r="I53" i="11" s="1"/>
  <c r="P53" i="11" s="1"/>
  <c r="K49" i="10"/>
  <c r="K52" i="11" s="1"/>
  <c r="R52" i="11" s="1"/>
  <c r="J49" i="10"/>
  <c r="J52" i="11" s="1"/>
  <c r="Q52" i="11" s="1"/>
  <c r="I49" i="10"/>
  <c r="I52" i="11" s="1"/>
  <c r="P52" i="11" s="1"/>
  <c r="H49" i="10"/>
  <c r="H52" i="11" s="1"/>
  <c r="O52" i="11" s="1"/>
  <c r="K48" i="10"/>
  <c r="K51" i="11" s="1"/>
  <c r="R51" i="11" s="1"/>
  <c r="J48" i="10"/>
  <c r="J51" i="11" s="1"/>
  <c r="Q51" i="11" s="1"/>
  <c r="I48" i="10"/>
  <c r="I51" i="11" s="1"/>
  <c r="P51" i="11" s="1"/>
  <c r="H48" i="10"/>
  <c r="H51" i="11" s="1"/>
  <c r="O51" i="11" s="1"/>
  <c r="I48" i="11"/>
  <c r="P48" i="11" s="1"/>
  <c r="H48" i="11"/>
  <c r="O48" i="11" s="1"/>
  <c r="K20" i="10"/>
  <c r="K20" i="11" s="1"/>
  <c r="R20" i="11" s="1"/>
  <c r="J20" i="10"/>
  <c r="J20" i="11" s="1"/>
  <c r="Q20" i="11" s="1"/>
  <c r="I20" i="10"/>
  <c r="I20" i="11" s="1"/>
  <c r="P20" i="11" s="1"/>
  <c r="H20" i="10"/>
  <c r="H20" i="11" s="1"/>
  <c r="O20" i="11" s="1"/>
  <c r="K7" i="10"/>
  <c r="K19" i="10" s="1"/>
  <c r="K44" i="10" s="1"/>
  <c r="K47" i="11" s="1"/>
  <c r="R47" i="11" s="1"/>
  <c r="J7" i="10"/>
  <c r="J19" i="10" s="1"/>
  <c r="J44" i="10" s="1"/>
  <c r="J47" i="11" s="1"/>
  <c r="Q47" i="11" s="1"/>
  <c r="I7" i="10"/>
  <c r="I19" i="10" s="1"/>
  <c r="I19" i="11" s="1"/>
  <c r="P19" i="11" s="1"/>
  <c r="H7" i="10"/>
  <c r="H19" i="10" s="1"/>
  <c r="H44" i="10" s="1"/>
  <c r="H47" i="11" s="1"/>
  <c r="O47" i="11" s="1"/>
  <c r="L56" i="10"/>
  <c r="L55" i="10"/>
  <c r="L54" i="10"/>
  <c r="H87" i="11" l="1"/>
  <c r="O87" i="11" s="1"/>
  <c r="S87" i="11" s="1"/>
  <c r="S91" i="11" s="1"/>
  <c r="S48" i="11"/>
  <c r="I65" i="10"/>
  <c r="J65" i="10"/>
  <c r="J59" i="10"/>
  <c r="I62" i="10"/>
  <c r="I66" i="11" s="1"/>
  <c r="P66" i="11" s="1"/>
  <c r="I59" i="10"/>
  <c r="H62" i="10"/>
  <c r="H66" i="11" s="1"/>
  <c r="O66" i="11" s="1"/>
  <c r="H58" i="10"/>
  <c r="H62" i="11" s="1"/>
  <c r="O62" i="11" s="1"/>
  <c r="K60" i="10"/>
  <c r="K64" i="11" s="1"/>
  <c r="R64" i="11" s="1"/>
  <c r="K59" i="10"/>
  <c r="A49" i="10"/>
  <c r="A50" i="10" s="1"/>
  <c r="A51" i="10" s="1"/>
  <c r="A52" i="10" s="1"/>
  <c r="J61" i="10"/>
  <c r="J65" i="11" s="1"/>
  <c r="Q65" i="11" s="1"/>
  <c r="J68" i="10"/>
  <c r="J72" i="11" s="1"/>
  <c r="Q72" i="11" s="1"/>
  <c r="J66" i="10"/>
  <c r="J70" i="11" s="1"/>
  <c r="Q70" i="11" s="1"/>
  <c r="J61" i="11"/>
  <c r="H61" i="11"/>
  <c r="J79" i="10"/>
  <c r="J83" i="11" s="1"/>
  <c r="Q83" i="11" s="1"/>
  <c r="S83" i="11" s="1"/>
  <c r="I76" i="10"/>
  <c r="J67" i="11"/>
  <c r="I77" i="10"/>
  <c r="I81" i="11" s="1"/>
  <c r="L81" i="11" s="1"/>
  <c r="J19" i="11"/>
  <c r="Q19" i="11" s="1"/>
  <c r="L53" i="11"/>
  <c r="J79" i="11"/>
  <c r="H7" i="11"/>
  <c r="L75" i="10"/>
  <c r="K61" i="10"/>
  <c r="K65" i="11" s="1"/>
  <c r="R65" i="11" s="1"/>
  <c r="I68" i="10"/>
  <c r="I72" i="11" s="1"/>
  <c r="P72" i="11" s="1"/>
  <c r="L77" i="10"/>
  <c r="L80" i="10"/>
  <c r="I79" i="11"/>
  <c r="L77" i="11"/>
  <c r="I67" i="11"/>
  <c r="I61" i="11"/>
  <c r="K7" i="11"/>
  <c r="J7" i="11"/>
  <c r="K62" i="10"/>
  <c r="K66" i="11" s="1"/>
  <c r="R66" i="11" s="1"/>
  <c r="L82" i="10"/>
  <c r="J76" i="10"/>
  <c r="J80" i="11" s="1"/>
  <c r="Q80" i="11" s="1"/>
  <c r="H19" i="11"/>
  <c r="O19" i="11" s="1"/>
  <c r="H67" i="11"/>
  <c r="J60" i="10"/>
  <c r="J64" i="11" s="1"/>
  <c r="Q64" i="11" s="1"/>
  <c r="H64" i="10"/>
  <c r="H68" i="11" s="1"/>
  <c r="O68" i="11" s="1"/>
  <c r="I66" i="10"/>
  <c r="I70" i="11" s="1"/>
  <c r="P70" i="11" s="1"/>
  <c r="K19" i="11"/>
  <c r="R19" i="11" s="1"/>
  <c r="H84" i="11"/>
  <c r="O84" i="11" s="1"/>
  <c r="S84" i="11" s="1"/>
  <c r="I80" i="11"/>
  <c r="P80" i="11" s="1"/>
  <c r="K61" i="11"/>
  <c r="I56" i="11"/>
  <c r="L56" i="11" s="1"/>
  <c r="I7" i="11"/>
  <c r="L90" i="11"/>
  <c r="L58" i="11"/>
  <c r="P59" i="11"/>
  <c r="S59" i="11" s="1"/>
  <c r="L84" i="11"/>
  <c r="L78" i="11"/>
  <c r="L73" i="11"/>
  <c r="L74" i="11"/>
  <c r="G15" i="2"/>
  <c r="X17" i="7"/>
  <c r="Y17" i="7" s="1"/>
  <c r="X16" i="7"/>
  <c r="Y16" i="7" s="1"/>
  <c r="P15" i="7"/>
  <c r="P14" i="7"/>
  <c r="X14" i="7"/>
  <c r="Y14" i="7" s="1"/>
  <c r="P16" i="7"/>
  <c r="S52" i="11"/>
  <c r="O53" i="11"/>
  <c r="S53" i="11" s="1"/>
  <c r="L87" i="11"/>
  <c r="O77" i="11"/>
  <c r="S77" i="11" s="1"/>
  <c r="O90" i="11"/>
  <c r="S90" i="11" s="1"/>
  <c r="L76" i="11"/>
  <c r="L52" i="11"/>
  <c r="L60" i="11"/>
  <c r="S74" i="11"/>
  <c r="L51" i="11"/>
  <c r="S51" i="11"/>
  <c r="S54" i="11" s="1"/>
  <c r="S20" i="11"/>
  <c r="S60" i="11"/>
  <c r="S76" i="11"/>
  <c r="L20" i="11"/>
  <c r="S78" i="11"/>
  <c r="S58" i="11"/>
  <c r="L48" i="11"/>
  <c r="L57" i="10"/>
  <c r="I60" i="10"/>
  <c r="I64" i="11" s="1"/>
  <c r="P64" i="11" s="1"/>
  <c r="H60" i="10"/>
  <c r="H64" i="11" s="1"/>
  <c r="O64" i="11" s="1"/>
  <c r="J62" i="10"/>
  <c r="J66" i="11" s="1"/>
  <c r="Q66" i="11" s="1"/>
  <c r="I61" i="10"/>
  <c r="I65" i="11" s="1"/>
  <c r="P65" i="11" s="1"/>
  <c r="H67" i="10"/>
  <c r="J67" i="10"/>
  <c r="J71" i="11" s="1"/>
  <c r="Q71" i="11" s="1"/>
  <c r="I78" i="10"/>
  <c r="I82" i="11" s="1"/>
  <c r="P82" i="11" s="1"/>
  <c r="J78" i="10"/>
  <c r="J82" i="11" s="1"/>
  <c r="Q82" i="11" s="1"/>
  <c r="H66" i="10"/>
  <c r="H61" i="10"/>
  <c r="I67" i="10"/>
  <c r="I71" i="11" s="1"/>
  <c r="P71" i="11" s="1"/>
  <c r="L19" i="10"/>
  <c r="I44" i="10"/>
  <c r="L49" i="10"/>
  <c r="L50" i="10"/>
  <c r="L48" i="10"/>
  <c r="L20" i="10"/>
  <c r="L7" i="10"/>
  <c r="L69" i="10"/>
  <c r="L45" i="10"/>
  <c r="L63" i="10"/>
  <c r="L73" i="10"/>
  <c r="L70" i="10"/>
  <c r="L72" i="10"/>
  <c r="A53" i="10" l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L59" i="10"/>
  <c r="S68" i="11"/>
  <c r="L65" i="10"/>
  <c r="S72" i="11"/>
  <c r="L68" i="10"/>
  <c r="L72" i="11"/>
  <c r="S62" i="11"/>
  <c r="L61" i="11"/>
  <c r="L79" i="11"/>
  <c r="S82" i="11"/>
  <c r="L83" i="11"/>
  <c r="L62" i="10"/>
  <c r="S66" i="11"/>
  <c r="L79" i="10"/>
  <c r="L19" i="11"/>
  <c r="L66" i="11"/>
  <c r="S64" i="11"/>
  <c r="L67" i="11"/>
  <c r="S80" i="11"/>
  <c r="S19" i="11"/>
  <c r="S21" i="11" s="1"/>
  <c r="L7" i="11"/>
  <c r="L44" i="10"/>
  <c r="I47" i="11"/>
  <c r="L82" i="11"/>
  <c r="L64" i="11"/>
  <c r="L61" i="10"/>
  <c r="H65" i="11"/>
  <c r="L66" i="10"/>
  <c r="H70" i="11"/>
  <c r="L80" i="11"/>
  <c r="L76" i="10"/>
  <c r="L67" i="10"/>
  <c r="H71" i="11"/>
  <c r="L62" i="11"/>
  <c r="L64" i="10"/>
  <c r="L68" i="11"/>
  <c r="P81" i="11"/>
  <c r="S81" i="11" s="1"/>
  <c r="L78" i="10"/>
  <c r="L60" i="10"/>
  <c r="L74" i="10"/>
  <c r="L58" i="10"/>
  <c r="P47" i="11" l="1"/>
  <c r="L47" i="11"/>
  <c r="L65" i="11"/>
  <c r="O65" i="11"/>
  <c r="S65" i="11" s="1"/>
  <c r="O71" i="11"/>
  <c r="S71" i="11" s="1"/>
  <c r="S85" i="11" s="1"/>
  <c r="L71" i="11"/>
  <c r="O70" i="11"/>
  <c r="S70" i="11" s="1"/>
  <c r="L70" i="11"/>
  <c r="S47" i="11" l="1"/>
  <c r="S49" i="11" s="1"/>
  <c r="I30" i="9"/>
  <c r="I29" i="9"/>
  <c r="I28" i="9"/>
  <c r="I27" i="9"/>
  <c r="H30" i="9"/>
  <c r="H29" i="9"/>
  <c r="H28" i="9"/>
  <c r="H27" i="9"/>
  <c r="G30" i="9"/>
  <c r="G28" i="9"/>
  <c r="G27" i="9"/>
  <c r="F30" i="9"/>
  <c r="F29" i="9"/>
  <c r="F28" i="9"/>
  <c r="F27" i="9"/>
  <c r="J32" i="9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36" i="2"/>
  <c r="A29" i="2"/>
  <c r="J31" i="9"/>
  <c r="F49" i="7"/>
  <c r="U18" i="7"/>
  <c r="T18" i="7"/>
  <c r="V50" i="7"/>
  <c r="X43" i="7"/>
  <c r="Y43" i="7" s="1"/>
  <c r="U20" i="7"/>
  <c r="U49" i="7" s="1"/>
  <c r="T20" i="7"/>
  <c r="T49" i="7" s="1"/>
  <c r="U19" i="7"/>
  <c r="T19" i="7"/>
  <c r="T40" i="7"/>
  <c r="U40" i="7"/>
  <c r="U41" i="7"/>
  <c r="V41" i="7"/>
  <c r="T41" i="7"/>
  <c r="V39" i="7"/>
  <c r="U39" i="7"/>
  <c r="T39" i="7"/>
  <c r="T38" i="7"/>
  <c r="U38" i="7"/>
  <c r="V38" i="7"/>
  <c r="T37" i="7"/>
  <c r="S37" i="7"/>
  <c r="U37" i="7"/>
  <c r="T36" i="7"/>
  <c r="U36" i="7"/>
  <c r="S36" i="7"/>
  <c r="U34" i="7"/>
  <c r="T34" i="7"/>
  <c r="S35" i="7"/>
  <c r="X35" i="7" s="1"/>
  <c r="Y35" i="7" s="1"/>
  <c r="T10" i="7"/>
  <c r="T11" i="7"/>
  <c r="T45" i="7" s="1"/>
  <c r="T12" i="7"/>
  <c r="T13" i="7"/>
  <c r="T48" i="7" s="1"/>
  <c r="T9" i="7"/>
  <c r="K41" i="7"/>
  <c r="M41" i="7" s="1"/>
  <c r="P41" i="7" s="1"/>
  <c r="K37" i="7"/>
  <c r="M37" i="7" s="1"/>
  <c r="P37" i="7" s="1"/>
  <c r="K38" i="7"/>
  <c r="M38" i="7" s="1"/>
  <c r="P38" i="7" s="1"/>
  <c r="K39" i="7"/>
  <c r="M39" i="7" s="1"/>
  <c r="P39" i="7" s="1"/>
  <c r="K40" i="7"/>
  <c r="M40" i="7" s="1"/>
  <c r="P40" i="7" s="1"/>
  <c r="K36" i="7"/>
  <c r="M36" i="7" s="1"/>
  <c r="P36" i="7" s="1"/>
  <c r="K35" i="7"/>
  <c r="M35" i="7" s="1"/>
  <c r="P35" i="7" s="1"/>
  <c r="K34" i="7"/>
  <c r="M34" i="7" s="1"/>
  <c r="P34" i="7" s="1"/>
  <c r="K33" i="7"/>
  <c r="M33" i="7" s="1"/>
  <c r="P33" i="7" s="1"/>
  <c r="S10" i="7"/>
  <c r="U10" i="7"/>
  <c r="U11" i="7"/>
  <c r="S12" i="7"/>
  <c r="U12" i="7"/>
  <c r="S13" i="7"/>
  <c r="S48" i="7" s="1"/>
  <c r="U13" i="7"/>
  <c r="U48" i="7" s="1"/>
  <c r="U9" i="7"/>
  <c r="S9" i="7"/>
  <c r="K20" i="7"/>
  <c r="M20" i="7" s="1"/>
  <c r="K19" i="7"/>
  <c r="M19" i="7" s="1"/>
  <c r="P19" i="7" s="1"/>
  <c r="K10" i="7"/>
  <c r="M10" i="7" s="1"/>
  <c r="P10" i="7" s="1"/>
  <c r="K11" i="7"/>
  <c r="M11" i="7" s="1"/>
  <c r="P11" i="7" s="1"/>
  <c r="K12" i="7"/>
  <c r="M12" i="7" s="1"/>
  <c r="P12" i="7" s="1"/>
  <c r="K9" i="7"/>
  <c r="M9" i="7" s="1"/>
  <c r="P9" i="7" s="1"/>
  <c r="A10" i="7"/>
  <c r="A11" i="7" s="1"/>
  <c r="A12" i="7" s="1"/>
  <c r="A13" i="7" s="1"/>
  <c r="AC86" i="7"/>
  <c r="AB86" i="7"/>
  <c r="AA86" i="7"/>
  <c r="Z86" i="7"/>
  <c r="Y86" i="7"/>
  <c r="X86" i="7"/>
  <c r="W86" i="7"/>
  <c r="V86" i="7"/>
  <c r="U86" i="7"/>
  <c r="T86" i="7"/>
  <c r="S86" i="7"/>
  <c r="R86" i="7"/>
  <c r="Q86" i="7"/>
  <c r="P86" i="7"/>
  <c r="O86" i="7"/>
  <c r="N86" i="7"/>
  <c r="M86" i="7"/>
  <c r="L86" i="7"/>
  <c r="K86" i="7"/>
  <c r="F86" i="7"/>
  <c r="AC85" i="7"/>
  <c r="AB85" i="7"/>
  <c r="AA85" i="7"/>
  <c r="Z85" i="7"/>
  <c r="Y85" i="7"/>
  <c r="X85" i="7"/>
  <c r="W85" i="7"/>
  <c r="V85" i="7"/>
  <c r="U85" i="7"/>
  <c r="T85" i="7"/>
  <c r="S85" i="7"/>
  <c r="R85" i="7"/>
  <c r="Q85" i="7"/>
  <c r="P85" i="7"/>
  <c r="O85" i="7"/>
  <c r="N85" i="7"/>
  <c r="M85" i="7"/>
  <c r="L85" i="7"/>
  <c r="K85" i="7"/>
  <c r="F85" i="7"/>
  <c r="AC84" i="7"/>
  <c r="AB84" i="7"/>
  <c r="AA84" i="7"/>
  <c r="Z84" i="7"/>
  <c r="Y84" i="7"/>
  <c r="W84" i="7"/>
  <c r="V84" i="7"/>
  <c r="U84" i="7"/>
  <c r="T84" i="7"/>
  <c r="S84" i="7"/>
  <c r="R84" i="7"/>
  <c r="Q84" i="7"/>
  <c r="O84" i="7"/>
  <c r="N84" i="7"/>
  <c r="L84" i="7"/>
  <c r="K84" i="7"/>
  <c r="F84" i="7"/>
  <c r="AC83" i="7"/>
  <c r="AB83" i="7"/>
  <c r="AA83" i="7"/>
  <c r="Z83" i="7"/>
  <c r="Y83" i="7"/>
  <c r="W83" i="7"/>
  <c r="V83" i="7"/>
  <c r="U83" i="7"/>
  <c r="T83" i="7"/>
  <c r="S83" i="7"/>
  <c r="R83" i="7"/>
  <c r="Q83" i="7"/>
  <c r="O83" i="7"/>
  <c r="N83" i="7"/>
  <c r="L83" i="7"/>
  <c r="K83" i="7"/>
  <c r="F83" i="7"/>
  <c r="AC82" i="7"/>
  <c r="AB82" i="7"/>
  <c r="AA82" i="7"/>
  <c r="Z82" i="7"/>
  <c r="Y82" i="7"/>
  <c r="X82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F82" i="7"/>
  <c r="AC81" i="7"/>
  <c r="AB81" i="7"/>
  <c r="AA81" i="7"/>
  <c r="Z81" i="7"/>
  <c r="Y81" i="7"/>
  <c r="W81" i="7"/>
  <c r="V81" i="7"/>
  <c r="U81" i="7"/>
  <c r="T81" i="7"/>
  <c r="S81" i="7"/>
  <c r="R81" i="7"/>
  <c r="Q81" i="7"/>
  <c r="O81" i="7"/>
  <c r="N81" i="7"/>
  <c r="L81" i="7"/>
  <c r="K81" i="7"/>
  <c r="F81" i="7"/>
  <c r="AC80" i="7"/>
  <c r="AB80" i="7"/>
  <c r="AA80" i="7"/>
  <c r="Z80" i="7"/>
  <c r="Y80" i="7"/>
  <c r="X80" i="7"/>
  <c r="W80" i="7"/>
  <c r="V80" i="7"/>
  <c r="U80" i="7"/>
  <c r="T80" i="7"/>
  <c r="S80" i="7"/>
  <c r="R80" i="7"/>
  <c r="Q80" i="7"/>
  <c r="P80" i="7"/>
  <c r="O80" i="7"/>
  <c r="N80" i="7"/>
  <c r="M80" i="7"/>
  <c r="L80" i="7"/>
  <c r="K80" i="7"/>
  <c r="F80" i="7"/>
  <c r="AC79" i="7"/>
  <c r="AB79" i="7"/>
  <c r="AA79" i="7"/>
  <c r="Z79" i="7"/>
  <c r="Y79" i="7"/>
  <c r="W79" i="7"/>
  <c r="V79" i="7"/>
  <c r="U79" i="7"/>
  <c r="T79" i="7"/>
  <c r="S79" i="7"/>
  <c r="R79" i="7"/>
  <c r="Q79" i="7"/>
  <c r="O79" i="7"/>
  <c r="N79" i="7"/>
  <c r="L79" i="7"/>
  <c r="K79" i="7"/>
  <c r="F79" i="7"/>
  <c r="F48" i="7"/>
  <c r="U47" i="7"/>
  <c r="T47" i="7"/>
  <c r="F47" i="7"/>
  <c r="F46" i="7"/>
  <c r="F45" i="7"/>
  <c r="X84" i="7"/>
  <c r="X83" i="7"/>
  <c r="H12" i="6"/>
  <c r="H11" i="6"/>
  <c r="H10" i="6"/>
  <c r="H9" i="6"/>
  <c r="H8" i="6"/>
  <c r="H7" i="6"/>
  <c r="A8" i="6"/>
  <c r="A9" i="6" s="1"/>
  <c r="A10" i="6" s="1"/>
  <c r="A11" i="6" s="1"/>
  <c r="A12" i="6" s="1"/>
  <c r="A8" i="5"/>
  <c r="A9" i="5" s="1"/>
  <c r="A10" i="5" s="1"/>
  <c r="A11" i="5" s="1"/>
  <c r="A12" i="5" s="1"/>
  <c r="A13" i="5" s="1"/>
  <c r="A14" i="5" s="1"/>
  <c r="A15" i="5" s="1"/>
  <c r="A16" i="5" s="1"/>
  <c r="A19" i="9" l="1"/>
  <c r="A20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S92" i="11"/>
  <c r="S93" i="11" s="1"/>
  <c r="S94" i="11" s="1"/>
  <c r="K47" i="7"/>
  <c r="S46" i="7"/>
  <c r="T50" i="7"/>
  <c r="P49" i="7"/>
  <c r="M49" i="7"/>
  <c r="A14" i="7"/>
  <c r="A15" i="7" s="1"/>
  <c r="A16" i="7" s="1"/>
  <c r="U50" i="7"/>
  <c r="K45" i="7"/>
  <c r="X33" i="7"/>
  <c r="Y33" i="7" s="1"/>
  <c r="X20" i="7"/>
  <c r="K49" i="7"/>
  <c r="X19" i="7"/>
  <c r="Y19" i="7" s="1"/>
  <c r="Y47" i="7" s="1"/>
  <c r="J29" i="9"/>
  <c r="J27" i="9"/>
  <c r="J28" i="9"/>
  <c r="J30" i="9"/>
  <c r="X37" i="7"/>
  <c r="Y37" i="7" s="1"/>
  <c r="X40" i="7"/>
  <c r="Y40" i="7" s="1"/>
  <c r="X39" i="7"/>
  <c r="Y39" i="7" s="1"/>
  <c r="X34" i="7"/>
  <c r="Y34" i="7" s="1"/>
  <c r="V46" i="7"/>
  <c r="V51" i="7" s="1"/>
  <c r="X44" i="7"/>
  <c r="Y44" i="7" s="1"/>
  <c r="X42" i="7"/>
  <c r="Y42" i="7" s="1"/>
  <c r="X36" i="7"/>
  <c r="Y36" i="7" s="1"/>
  <c r="X41" i="7"/>
  <c r="Y41" i="7" s="1"/>
  <c r="K46" i="7"/>
  <c r="S45" i="7"/>
  <c r="U45" i="7"/>
  <c r="X38" i="7"/>
  <c r="Y38" i="7" s="1"/>
  <c r="U46" i="7"/>
  <c r="T46" i="7"/>
  <c r="X18" i="7"/>
  <c r="Y18" i="7" s="1"/>
  <c r="X9" i="7"/>
  <c r="X12" i="7"/>
  <c r="Y12" i="7" s="1"/>
  <c r="X13" i="7"/>
  <c r="X48" i="7" s="1"/>
  <c r="X10" i="7"/>
  <c r="Y10" i="7" s="1"/>
  <c r="X11" i="7"/>
  <c r="Y11" i="7" s="1"/>
  <c r="M13" i="7"/>
  <c r="P13" i="7" s="1"/>
  <c r="F87" i="7"/>
  <c r="T87" i="7"/>
  <c r="Y87" i="7"/>
  <c r="AC87" i="7"/>
  <c r="O87" i="7"/>
  <c r="F51" i="7"/>
  <c r="Q87" i="7"/>
  <c r="Z87" i="7"/>
  <c r="L87" i="7"/>
  <c r="R87" i="7"/>
  <c r="V87" i="7"/>
  <c r="AA87" i="7"/>
  <c r="K87" i="7"/>
  <c r="U87" i="7"/>
  <c r="N87" i="7"/>
  <c r="S87" i="7"/>
  <c r="W87" i="7"/>
  <c r="AB87" i="7"/>
  <c r="M83" i="7"/>
  <c r="M84" i="7"/>
  <c r="K48" i="7"/>
  <c r="X79" i="7"/>
  <c r="X81" i="7"/>
  <c r="T51" i="7" l="1"/>
  <c r="S51" i="7"/>
  <c r="A17" i="7"/>
  <c r="A18" i="7" s="1"/>
  <c r="A19" i="7" s="1"/>
  <c r="A20" i="7" s="1"/>
  <c r="A34" i="7" s="1"/>
  <c r="A35" i="7" s="1"/>
  <c r="A36" i="7" s="1"/>
  <c r="A37" i="7" s="1"/>
  <c r="A38" i="7" s="1"/>
  <c r="Y46" i="7"/>
  <c r="X50" i="7"/>
  <c r="Y50" i="7"/>
  <c r="X47" i="7"/>
  <c r="Y20" i="7"/>
  <c r="Y49" i="7" s="1"/>
  <c r="X49" i="7"/>
  <c r="K51" i="7"/>
  <c r="U51" i="7"/>
  <c r="M48" i="7"/>
  <c r="Y9" i="7"/>
  <c r="Y45" i="7" s="1"/>
  <c r="X45" i="7"/>
  <c r="X46" i="7"/>
  <c r="Y13" i="7"/>
  <c r="Y48" i="7" s="1"/>
  <c r="M81" i="7"/>
  <c r="M47" i="7"/>
  <c r="P84" i="7"/>
  <c r="P83" i="7"/>
  <c r="P48" i="7"/>
  <c r="M79" i="7"/>
  <c r="M45" i="7"/>
  <c r="X87" i="7"/>
  <c r="P46" i="7"/>
  <c r="M46" i="7"/>
  <c r="Y51" i="7" l="1"/>
  <c r="X51" i="7"/>
  <c r="M87" i="7"/>
  <c r="P81" i="7"/>
  <c r="P47" i="7"/>
  <c r="P79" i="7"/>
  <c r="P45" i="7"/>
  <c r="M51" i="7"/>
  <c r="P51" i="7" l="1"/>
  <c r="P87" i="7"/>
  <c r="G9" i="4" l="1"/>
  <c r="G7" i="4"/>
  <c r="G11" i="4"/>
  <c r="G10" i="4"/>
  <c r="G8" i="4"/>
  <c r="G6" i="4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30" i="2" s="1"/>
  <c r="A31" i="2" s="1"/>
  <c r="U22" i="1"/>
  <c r="X22" i="1"/>
  <c r="Y22" i="1"/>
  <c r="E27" i="2"/>
  <c r="D27" i="2"/>
  <c r="F26" i="2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F28" i="2" s="1"/>
  <c r="Z8" i="1"/>
  <c r="D28" i="2" s="1"/>
  <c r="F15" i="2"/>
  <c r="E9" i="2"/>
  <c r="E8" i="2"/>
  <c r="D8" i="2"/>
  <c r="D9" i="2"/>
  <c r="F8" i="2"/>
  <c r="A32" i="2" l="1"/>
  <c r="A33" i="2" s="1"/>
  <c r="A34" i="2" s="1"/>
  <c r="I7" i="9"/>
  <c r="G26" i="2"/>
  <c r="I12" i="9" s="1"/>
  <c r="G27" i="2"/>
  <c r="G8" i="2"/>
  <c r="A35" i="2" l="1"/>
  <c r="G23" i="2"/>
  <c r="C35" i="2" s="1"/>
  <c r="K35" i="2" s="1"/>
  <c r="G22" i="2"/>
  <c r="C34" i="2" s="1"/>
  <c r="G20" i="2"/>
  <c r="C32" i="2" s="1"/>
  <c r="G18" i="2"/>
  <c r="I10" i="9" s="1"/>
  <c r="G17" i="2"/>
  <c r="I9" i="9" s="1"/>
  <c r="G13" i="2"/>
  <c r="G12" i="2"/>
  <c r="G11" i="2"/>
  <c r="G9" i="2"/>
  <c r="I35" i="2" l="1"/>
  <c r="M35" i="2"/>
  <c r="E35" i="2"/>
  <c r="O35" i="2"/>
  <c r="G35" i="2"/>
  <c r="M32" i="2"/>
  <c r="E32" i="2"/>
  <c r="K32" i="2"/>
  <c r="I32" i="2"/>
  <c r="O32" i="2"/>
  <c r="G32" i="2"/>
  <c r="G16" i="2"/>
  <c r="I8" i="9" s="1"/>
  <c r="G21" i="2"/>
  <c r="K34" i="2"/>
  <c r="I34" i="2"/>
  <c r="O34" i="2"/>
  <c r="M34" i="2"/>
  <c r="E34" i="2"/>
  <c r="G34" i="2"/>
  <c r="C33" i="2" l="1"/>
  <c r="G33" i="2" s="1"/>
  <c r="O33" i="2"/>
  <c r="O36" i="2" s="1"/>
  <c r="I18" i="9" s="1"/>
  <c r="E33" i="2"/>
  <c r="E36" i="2" s="1"/>
  <c r="I13" i="9" s="1"/>
  <c r="M33" i="2"/>
  <c r="M36" i="2" s="1"/>
  <c r="I17" i="9" s="1"/>
  <c r="C36" i="2"/>
  <c r="G36" i="2" l="1"/>
  <c r="I14" i="9" s="1"/>
  <c r="I33" i="2"/>
  <c r="I36" i="2" s="1"/>
  <c r="I15" i="9" s="1"/>
  <c r="K33" i="2"/>
  <c r="K36" i="2" s="1"/>
  <c r="I16" i="9" s="1"/>
  <c r="L37" i="3"/>
  <c r="L36" i="3"/>
  <c r="L35" i="3"/>
  <c r="L34" i="3"/>
  <c r="L33" i="3"/>
  <c r="L32" i="3"/>
  <c r="L30" i="3"/>
  <c r="L31" i="3"/>
  <c r="L27" i="3"/>
  <c r="L26" i="3"/>
  <c r="L25" i="3"/>
  <c r="L24" i="3"/>
  <c r="L22" i="3"/>
  <c r="L21" i="3"/>
  <c r="L20" i="3"/>
  <c r="L17" i="3"/>
  <c r="L15" i="3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L28" i="3"/>
  <c r="K22" i="3"/>
  <c r="I22" i="3"/>
  <c r="G22" i="3"/>
  <c r="K37" i="3"/>
  <c r="I37" i="3"/>
  <c r="G37" i="3"/>
  <c r="L38" i="3"/>
  <c r="K38" i="3"/>
  <c r="I38" i="3"/>
  <c r="G38" i="3"/>
  <c r="K36" i="3"/>
  <c r="I36" i="3"/>
  <c r="G36" i="3"/>
  <c r="K34" i="3"/>
  <c r="I34" i="3"/>
  <c r="G34" i="3"/>
  <c r="K32" i="3"/>
  <c r="I32" i="3"/>
  <c r="G32" i="3"/>
  <c r="L29" i="3"/>
  <c r="K29" i="3"/>
  <c r="I29" i="3"/>
  <c r="G29" i="3"/>
  <c r="K27" i="3"/>
  <c r="I27" i="3"/>
  <c r="G27" i="3"/>
  <c r="L19" i="3"/>
  <c r="K19" i="3"/>
  <c r="I19" i="3"/>
  <c r="G19" i="3"/>
  <c r="K21" i="3"/>
  <c r="I21" i="3"/>
  <c r="G21" i="3"/>
  <c r="L23" i="3"/>
  <c r="K23" i="3"/>
  <c r="I23" i="3"/>
  <c r="G23" i="3"/>
  <c r="K25" i="3"/>
  <c r="I25" i="3"/>
  <c r="G25" i="3"/>
  <c r="K35" i="3"/>
  <c r="I35" i="3"/>
  <c r="G35" i="3"/>
  <c r="L18" i="3"/>
  <c r="K33" i="3"/>
  <c r="I33" i="3"/>
  <c r="G33" i="3"/>
  <c r="L16" i="3"/>
  <c r="G16" i="3"/>
  <c r="I16" i="3"/>
  <c r="K16" i="3"/>
  <c r="G17" i="3"/>
  <c r="I17" i="3"/>
  <c r="K17" i="3"/>
  <c r="G18" i="3"/>
  <c r="I18" i="3"/>
  <c r="K18" i="3"/>
  <c r="G20" i="3"/>
  <c r="I20" i="3"/>
  <c r="K20" i="3"/>
  <c r="G24" i="3"/>
  <c r="I24" i="3"/>
  <c r="K24" i="3"/>
  <c r="G26" i="3"/>
  <c r="I26" i="3"/>
  <c r="K26" i="3"/>
  <c r="G28" i="3"/>
  <c r="I28" i="3"/>
  <c r="K28" i="3"/>
  <c r="G30" i="3"/>
  <c r="I30" i="3"/>
  <c r="K30" i="3"/>
  <c r="G31" i="3"/>
  <c r="I31" i="3"/>
  <c r="K31" i="3"/>
  <c r="I15" i="3"/>
  <c r="G15" i="3"/>
  <c r="E40" i="3"/>
  <c r="E12" i="3"/>
  <c r="K10" i="3"/>
  <c r="I10" i="3"/>
  <c r="G10" i="3"/>
  <c r="L10" i="3"/>
  <c r="L11" i="3"/>
  <c r="K11" i="3"/>
  <c r="I11" i="3"/>
  <c r="G11" i="3"/>
  <c r="L9" i="3"/>
  <c r="L12" i="3" s="1"/>
  <c r="K9" i="3"/>
  <c r="K12" i="3" s="1"/>
  <c r="I9" i="3"/>
  <c r="G9" i="3"/>
  <c r="E52" i="3"/>
  <c r="K51" i="3"/>
  <c r="I51" i="3"/>
  <c r="G51" i="3"/>
  <c r="L51" i="3"/>
  <c r="L50" i="3"/>
  <c r="K50" i="3"/>
  <c r="I50" i="3"/>
  <c r="G50" i="3"/>
  <c r="L48" i="3"/>
  <c r="L49" i="3"/>
  <c r="K49" i="3"/>
  <c r="I49" i="3"/>
  <c r="G49" i="3"/>
  <c r="I48" i="3"/>
  <c r="G48" i="3"/>
  <c r="L47" i="3"/>
  <c r="L46" i="3"/>
  <c r="L45" i="3"/>
  <c r="L44" i="3"/>
  <c r="L43" i="3"/>
  <c r="K48" i="3"/>
  <c r="K47" i="3"/>
  <c r="K46" i="3"/>
  <c r="K45" i="3"/>
  <c r="K44" i="3"/>
  <c r="I44" i="3"/>
  <c r="I45" i="3"/>
  <c r="I46" i="3"/>
  <c r="I47" i="3"/>
  <c r="G44" i="3"/>
  <c r="G45" i="3"/>
  <c r="G46" i="3"/>
  <c r="G47" i="3"/>
  <c r="K43" i="3"/>
  <c r="I43" i="3"/>
  <c r="G43" i="3"/>
  <c r="K55" i="3"/>
  <c r="K56" i="3" s="1"/>
  <c r="L56" i="3"/>
  <c r="E56" i="3"/>
  <c r="I55" i="3"/>
  <c r="G55" i="3"/>
  <c r="G56" i="3" s="1"/>
  <c r="A8" i="3"/>
  <c r="E57" i="3" l="1"/>
  <c r="L40" i="3"/>
  <c r="L57" i="3" s="1"/>
  <c r="G40" i="3"/>
  <c r="K40" i="3"/>
  <c r="K57" i="3" s="1"/>
  <c r="G12" i="3"/>
  <c r="I57" i="3"/>
  <c r="G52" i="3"/>
  <c r="K52" i="3"/>
  <c r="L52" i="3"/>
  <c r="G57" i="3" l="1"/>
  <c r="L42" i="1"/>
  <c r="L43" i="1"/>
  <c r="L44" i="1"/>
  <c r="L45" i="1"/>
  <c r="L46" i="1"/>
  <c r="L47" i="1"/>
  <c r="L40" i="1" l="1"/>
  <c r="L41" i="1"/>
  <c r="A32" i="1"/>
  <c r="A33" i="1" s="1"/>
  <c r="A34" i="1" s="1"/>
  <c r="P32" i="1"/>
  <c r="T32" i="1" s="1"/>
  <c r="P33" i="1"/>
  <c r="T33" i="1" s="1"/>
  <c r="P34" i="1"/>
  <c r="T34" i="1" s="1"/>
  <c r="P39" i="1"/>
  <c r="T39" i="1" s="1"/>
  <c r="P40" i="1"/>
  <c r="T40" i="1" s="1"/>
  <c r="P41" i="1"/>
  <c r="T41" i="1" s="1"/>
  <c r="P42" i="1"/>
  <c r="T42" i="1" s="1"/>
  <c r="P43" i="1"/>
  <c r="T43" i="1" s="1"/>
  <c r="P44" i="1"/>
  <c r="T44" i="1" s="1"/>
  <c r="P45" i="1"/>
  <c r="T45" i="1" s="1"/>
  <c r="P46" i="1"/>
  <c r="T46" i="1" s="1"/>
  <c r="P47" i="1"/>
  <c r="T47" i="1" s="1"/>
  <c r="P31" i="1"/>
  <c r="T31" i="1" s="1"/>
  <c r="L39" i="1"/>
  <c r="L17" i="1"/>
  <c r="P15" i="1"/>
  <c r="P16" i="1"/>
  <c r="P17" i="1"/>
  <c r="P18" i="1"/>
  <c r="P19" i="1"/>
  <c r="P20" i="1"/>
  <c r="P21" i="1"/>
  <c r="L16" i="1"/>
  <c r="L18" i="1"/>
  <c r="L19" i="1"/>
  <c r="L20" i="1"/>
  <c r="L21" i="1"/>
  <c r="P14" i="1"/>
  <c r="A35" i="1" l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L32" i="1"/>
  <c r="L15" i="1"/>
  <c r="G15" i="1"/>
  <c r="G25" i="2" l="1"/>
  <c r="I11" i="9" s="1"/>
  <c r="L14" i="1"/>
  <c r="J77" i="1"/>
  <c r="L13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L12" i="1"/>
  <c r="L11" i="1"/>
  <c r="J76" i="1" l="1"/>
  <c r="E28" i="2" s="1"/>
  <c r="G28" i="2" s="1"/>
  <c r="L31" i="1"/>
  <c r="P10" i="1"/>
  <c r="L10" i="1"/>
  <c r="L9" i="1"/>
  <c r="S22" i="1"/>
  <c r="P9" i="1"/>
  <c r="P12" i="1"/>
  <c r="P13" i="1"/>
  <c r="P8" i="1"/>
  <c r="L8" i="1"/>
  <c r="G117" i="1" l="1"/>
  <c r="G116" i="1"/>
  <c r="G114" i="1"/>
  <c r="G113" i="1"/>
  <c r="G112" i="1"/>
  <c r="G111" i="1"/>
  <c r="G110" i="1"/>
  <c r="G109" i="1"/>
  <c r="G108" i="1"/>
  <c r="G105" i="1"/>
  <c r="G104" i="1"/>
  <c r="G103" i="1"/>
  <c r="G102" i="1"/>
  <c r="G101" i="1"/>
  <c r="G100" i="1"/>
  <c r="J78" i="1"/>
  <c r="I78" i="1"/>
  <c r="H78" i="1"/>
  <c r="M65" i="1"/>
  <c r="G107" i="1"/>
  <c r="T22" i="1"/>
  <c r="R22" i="1"/>
  <c r="G115" i="1"/>
  <c r="G106" i="1" l="1"/>
</calcChain>
</file>

<file path=xl/sharedStrings.xml><?xml version="1.0" encoding="utf-8"?>
<sst xmlns="http://schemas.openxmlformats.org/spreadsheetml/2006/main" count="1524" uniqueCount="655">
  <si>
    <t>Jrk. nr</t>
  </si>
  <si>
    <t>Truubi / Purde
nr</t>
  </si>
  <si>
    <t>Ehitise lühitähis</t>
  </si>
  <si>
    <t>Veejuhtme</t>
  </si>
  <si>
    <t>Projekteerimisnormide kohane arvutuslik</t>
  </si>
  <si>
    <t>Proj. truubi / purde andmed</t>
  </si>
  <si>
    <t xml:space="preserve">Olemasoleva truubi andmed </t>
  </si>
  <si>
    <t>Märkused</t>
  </si>
  <si>
    <t>Nimetus</t>
  </si>
  <si>
    <t xml:space="preserve">Valgala        </t>
  </si>
  <si>
    <t xml:space="preserve">Asukoht pk.nr/ kaugus kr. suudmest     </t>
  </si>
  <si>
    <t>Katte/ mulde laius</t>
  </si>
  <si>
    <t>Katte/mulde kõrgusarv</t>
  </si>
  <si>
    <t>Põhja kõrgusarv sv</t>
  </si>
  <si>
    <t xml:space="preserve">Sügavus teepinnast/muldest   </t>
  </si>
  <si>
    <t>Pikkus</t>
  </si>
  <si>
    <t>Tähis</t>
  </si>
  <si>
    <t>Teekatte taastamine kruus</t>
  </si>
  <si>
    <t>Täiendav kaeve</t>
  </si>
  <si>
    <t>Veejuhtme täide (min. pinnas)</t>
  </si>
  <si>
    <t>Tähis-   post</t>
  </si>
  <si>
    <t>Puitaluse ehitamine</t>
  </si>
  <si>
    <t>Otsaku lammutus</t>
  </si>
  <si>
    <t>Lisakaeve vana truubi eemalda-miseks</t>
  </si>
  <si>
    <t>Äravoolu-moodul</t>
  </si>
  <si>
    <t>Vooluhulk</t>
  </si>
  <si>
    <t>km²</t>
  </si>
  <si>
    <r>
      <t>l/s km</t>
    </r>
    <r>
      <rPr>
        <vertAlign val="superscript"/>
        <sz val="10"/>
        <rFont val="Arial"/>
        <family val="2"/>
      </rPr>
      <t>2</t>
    </r>
  </si>
  <si>
    <t>l/s</t>
  </si>
  <si>
    <t>m</t>
  </si>
  <si>
    <t>m abs</t>
  </si>
  <si>
    <t>m³</t>
  </si>
  <si>
    <t>tk</t>
  </si>
  <si>
    <t>cm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</si>
  <si>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</si>
  <si>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</si>
  <si>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</si>
  <si>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</si>
  <si>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</si>
  <si>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</si>
  <si>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</si>
  <si>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</si>
  <si>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</si>
  <si>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</si>
  <si>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</si>
  <si>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</si>
  <si>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</si>
  <si>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</si>
  <si>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</si>
  <si>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</si>
  <si>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</si>
  <si>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</si>
  <si>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</si>
  <si>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</si>
  <si>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</si>
  <si>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</si>
  <si>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</si>
  <si>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</si>
  <si>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EH1</t>
  </si>
  <si>
    <t>MAOK</t>
  </si>
  <si>
    <t>EH2</t>
  </si>
  <si>
    <t>EH3</t>
  </si>
  <si>
    <t>Kokku</t>
  </si>
  <si>
    <t>Tabel 9C. Uuendatavad truubid</t>
  </si>
  <si>
    <t>Olemasoleva truubi andmed</t>
  </si>
  <si>
    <t>Uuendamine</t>
  </si>
  <si>
    <t>Uue otsaku ehitamine</t>
  </si>
  <si>
    <t>tüüpotsak</t>
  </si>
  <si>
    <t>Veejuhtme nimetus</t>
  </si>
  <si>
    <t>Otsaku lammu-tus</t>
  </si>
  <si>
    <t>Lisakaeve truubi eemaldami-seks</t>
  </si>
  <si>
    <t>Tabel 9E. Olemasolevasse seisukorda jäetavad truubid (vajadusel)</t>
  </si>
  <si>
    <t>Märkused:</t>
  </si>
  <si>
    <t>Kõik tabelisse 2a märgitud tööd peavad kajastuma tabelis 9 ja 10</t>
  </si>
  <si>
    <t>Eriprofiiltruupide rajamiseks tuleb projekteerida veetõrje</t>
  </si>
  <si>
    <t>Eriprofiiltruupide rajamiseks tuleb projekteerida ajutiste tõkketammide rajamine ja likvideerimine</t>
  </si>
  <si>
    <t>Tabelisse märgitud andmed on esitatud näiteks ning ei ole seotud eelnevate/järgnevate näidiskoosseisu tabelitega</t>
  </si>
  <si>
    <t>Kontrolltabel ehitiste kaupa</t>
  </si>
  <si>
    <t>Projekti väljatrükile antud tabelit ei lisata</t>
  </si>
  <si>
    <t>Sisesta siia ehitise lühitähis</t>
  </si>
  <si>
    <t>Likvideeritavad truubid</t>
  </si>
  <si>
    <t>Rekonstrueeritavad truubid</t>
  </si>
  <si>
    <t>Ehitatavad truubid</t>
  </si>
  <si>
    <t>Uuendatavad truubid</t>
  </si>
  <si>
    <t>Likvideeritavate truupide pikkused</t>
  </si>
  <si>
    <t>Rek truupide pikkused</t>
  </si>
  <si>
    <t>Ehitatavate truupide pikkused</t>
  </si>
  <si>
    <t>Uuendatavate truupide pikkused</t>
  </si>
  <si>
    <t>Ø40-PT REK</t>
  </si>
  <si>
    <t>Ø50-PT REK</t>
  </si>
  <si>
    <t>Ø60-PT REK</t>
  </si>
  <si>
    <t>Ø100-PT REK</t>
  </si>
  <si>
    <t>Kontrolltabelit täiendatakse vastavalt vajadusele</t>
  </si>
  <si>
    <t>T21</t>
  </si>
  <si>
    <t>T22</t>
  </si>
  <si>
    <t>T24</t>
  </si>
  <si>
    <t>T25</t>
  </si>
  <si>
    <t>T26</t>
  </si>
  <si>
    <t>T27</t>
  </si>
  <si>
    <t>50B10Kap</t>
  </si>
  <si>
    <t>T33</t>
  </si>
  <si>
    <t>50P12</t>
  </si>
  <si>
    <t>T28</t>
  </si>
  <si>
    <t>T31</t>
  </si>
  <si>
    <t>40P10MAOK</t>
  </si>
  <si>
    <t>T32</t>
  </si>
  <si>
    <t>60P9MAOK</t>
  </si>
  <si>
    <t>50B7</t>
  </si>
  <si>
    <t>T34</t>
  </si>
  <si>
    <t>50B6</t>
  </si>
  <si>
    <t>T35</t>
  </si>
  <si>
    <t>50B8</t>
  </si>
  <si>
    <t>T36</t>
  </si>
  <si>
    <t>T37</t>
  </si>
  <si>
    <t>115-1</t>
  </si>
  <si>
    <t>KOK</t>
  </si>
  <si>
    <t>T38</t>
  </si>
  <si>
    <t>30Asb5</t>
  </si>
  <si>
    <t>80P12MAOK</t>
  </si>
  <si>
    <t>T313</t>
  </si>
  <si>
    <t>T39</t>
  </si>
  <si>
    <t>T310</t>
  </si>
  <si>
    <t>50P8MAOK</t>
  </si>
  <si>
    <t>T311</t>
  </si>
  <si>
    <t>T312</t>
  </si>
  <si>
    <t>T314</t>
  </si>
  <si>
    <t>T315</t>
  </si>
  <si>
    <t>T316</t>
  </si>
  <si>
    <t>T317</t>
  </si>
  <si>
    <t>T318</t>
  </si>
  <si>
    <t>T319</t>
  </si>
  <si>
    <t>T320</t>
  </si>
  <si>
    <t>T321</t>
  </si>
  <si>
    <t>T51</t>
  </si>
  <si>
    <t>EH5</t>
  </si>
  <si>
    <t xml:space="preserve">Tee lõikude parameetrid                                                      </t>
  </si>
  <si>
    <t>Ristprofiili number</t>
  </si>
  <si>
    <t>Piketivahemik</t>
  </si>
  <si>
    <t>Lõigu pikkus       m</t>
  </si>
  <si>
    <t>Kruus fr 0-32 mm,    Pos 6</t>
  </si>
  <si>
    <r>
      <t xml:space="preserve">Kruus fr 0-63 mm,                </t>
    </r>
    <r>
      <rPr>
        <sz val="10"/>
        <color theme="9" tint="-0.249977111117893"/>
        <rFont val="Arial"/>
        <family val="2"/>
      </rPr>
      <t xml:space="preserve"> </t>
    </r>
    <r>
      <rPr>
        <sz val="10"/>
        <rFont val="Arial"/>
        <family val="2"/>
      </rPr>
      <t xml:space="preserve">Pos 3 </t>
    </r>
  </si>
  <si>
    <t>Geotekstiil (b=5,0m)                               NGS 4          m²</t>
  </si>
  <si>
    <t>(tee pealtlaius - katendi kihi paksused - geosünteet)</t>
  </si>
  <si>
    <t>m³/m</t>
  </si>
  <si>
    <t>Kogus           m³</t>
  </si>
  <si>
    <t>EH 2: Laiaaugu tee</t>
  </si>
  <si>
    <t>EH 3: Latisilla tee</t>
  </si>
  <si>
    <t>EH 4: Rämmi tee</t>
  </si>
  <si>
    <t>EH 5: Vanaõue tee</t>
  </si>
  <si>
    <t>0+00 - 0+10</t>
  </si>
  <si>
    <t>Mahasõidukoht M3</t>
  </si>
  <si>
    <t>R51</t>
  </si>
  <si>
    <t>0+10 - 5+04</t>
  </si>
  <si>
    <t>M3</t>
  </si>
  <si>
    <t>Kokku:</t>
  </si>
  <si>
    <t>Kõik kokku:</t>
  </si>
  <si>
    <t>0+00 - 0+30</t>
  </si>
  <si>
    <t>Mahasõidukoht MM</t>
  </si>
  <si>
    <t>MM</t>
  </si>
  <si>
    <t>Mahasõidukoht</t>
  </si>
  <si>
    <t>0+30 - 3+55</t>
  </si>
  <si>
    <t>R41</t>
  </si>
  <si>
    <t>R42</t>
  </si>
  <si>
    <t>R43</t>
  </si>
  <si>
    <t>R44</t>
  </si>
  <si>
    <t>Mulde ehitamine</t>
  </si>
  <si>
    <t>10+43 - 10+96</t>
  </si>
  <si>
    <t>3+55 - 3+75</t>
  </si>
  <si>
    <t>3+75 - 3+91</t>
  </si>
  <si>
    <t>3+91 - 10+13</t>
  </si>
  <si>
    <t>10+13 - 10+43</t>
  </si>
  <si>
    <t>10+96 - 11+12</t>
  </si>
  <si>
    <t>11+12 - 11+36</t>
  </si>
  <si>
    <t>R45</t>
  </si>
  <si>
    <t>11+36 - 12+00</t>
  </si>
  <si>
    <t>R21</t>
  </si>
  <si>
    <t>0+30 - 9+19</t>
  </si>
  <si>
    <t>9+51 - 11+35</t>
  </si>
  <si>
    <t>R22</t>
  </si>
  <si>
    <t>9+19 - 9+51</t>
  </si>
  <si>
    <t>R31</t>
  </si>
  <si>
    <t>0+30 - 3+19</t>
  </si>
  <si>
    <t>R32</t>
  </si>
  <si>
    <t>3+19 - 3+77</t>
  </si>
  <si>
    <t>R33</t>
  </si>
  <si>
    <t>3+77 - 4+35</t>
  </si>
  <si>
    <t>R34</t>
  </si>
  <si>
    <t>4+35 - 5+09</t>
  </si>
  <si>
    <t>5+09 - 10+00</t>
  </si>
  <si>
    <t>R35</t>
  </si>
  <si>
    <t>10+00 - 10+66</t>
  </si>
  <si>
    <t>10+66 - 11+24</t>
  </si>
  <si>
    <t>11+24 - 11+88</t>
  </si>
  <si>
    <t>11+88 - 14+16</t>
  </si>
  <si>
    <t>R36</t>
  </si>
  <si>
    <t>14+16 - 14+70</t>
  </si>
  <si>
    <t>14+70 - 15+20</t>
  </si>
  <si>
    <t>R37</t>
  </si>
  <si>
    <t>15+20 - 15+56</t>
  </si>
  <si>
    <t>15+56 - 16+04</t>
  </si>
  <si>
    <t>16+04 - 16+44</t>
  </si>
  <si>
    <t>R38</t>
  </si>
  <si>
    <t>16+44 - 23+45</t>
  </si>
  <si>
    <t>R39</t>
  </si>
  <si>
    <t>R310</t>
  </si>
  <si>
    <t>23+45 - 23+69</t>
  </si>
  <si>
    <t>23+69 - 23+87</t>
  </si>
  <si>
    <t>23+87 - 34+17</t>
  </si>
  <si>
    <t>34+17 - 34+59</t>
  </si>
  <si>
    <t>34+59 - 38+76</t>
  </si>
  <si>
    <t>38+76 - 39+00</t>
  </si>
  <si>
    <t>39+00 - 40+63</t>
  </si>
  <si>
    <t>40+63 - 40+81</t>
  </si>
  <si>
    <t>40+81 - 50+71</t>
  </si>
  <si>
    <t>50+71 - 51+01</t>
  </si>
  <si>
    <t>4.0-10-20-G</t>
  </si>
  <si>
    <t>7.0-10-20-G-30</t>
  </si>
  <si>
    <t>4.5-10-20-G-30</t>
  </si>
  <si>
    <t>6.2-10-20-G-30</t>
  </si>
  <si>
    <t>5.8-10-20-G-30</t>
  </si>
  <si>
    <t>5.3-10-20-G-30</t>
  </si>
  <si>
    <t>6.5-10-20-G-30</t>
  </si>
  <si>
    <t>Ehitustöö kirjeldus</t>
  </si>
  <si>
    <t>Mõõtühik</t>
  </si>
  <si>
    <t>Maht</t>
  </si>
  <si>
    <t>sealhulgas</t>
  </si>
  <si>
    <t>EH 2</t>
  </si>
  <si>
    <t>EH 3</t>
  </si>
  <si>
    <t>Väljatõstetavad torud, otsakud (otsakute lammutus)</t>
  </si>
  <si>
    <r>
      <t>m</t>
    </r>
    <r>
      <rPr>
        <vertAlign val="superscript"/>
        <sz val="10"/>
        <color theme="1"/>
        <rFont val="Arial"/>
        <family val="2"/>
      </rPr>
      <t>3</t>
    </r>
  </si>
  <si>
    <t>Truupide kogused</t>
  </si>
  <si>
    <t>Projekteeritud truupide kogupikkused</t>
  </si>
  <si>
    <t>Truubi otsakud</t>
  </si>
  <si>
    <t>2 otsakut</t>
  </si>
  <si>
    <t>Ø50 MAOK. Truubi mattotsak kivikindlustusega</t>
  </si>
  <si>
    <t>Ø60 MAOK. Truubi mattotsak kivikindlustusega</t>
  </si>
  <si>
    <t>Ø100 KOK. Truubi kiviotsak kivikindlustusega</t>
  </si>
  <si>
    <t>Muud mahud</t>
  </si>
  <si>
    <t>Tähispost</t>
  </si>
  <si>
    <t>Lisakaeve vana truubi eemaldamiseks</t>
  </si>
  <si>
    <t>Veejuhtme täitmine (min. pinnas)</t>
  </si>
  <si>
    <t>Materjali kulu otsakutele ja veeviimaritele</t>
  </si>
  <si>
    <t>Truubi otsaku</t>
  </si>
  <si>
    <t>truupide</t>
  </si>
  <si>
    <t>kivid Ø15-30 cm</t>
  </si>
  <si>
    <t>geotekstiil NG21</t>
  </si>
  <si>
    <t>huumusmuld</t>
  </si>
  <si>
    <t>erosioonitõkkematt</t>
  </si>
  <si>
    <t>heinaseeme</t>
  </si>
  <si>
    <t>puuvaiad</t>
  </si>
  <si>
    <t>tüüp</t>
  </si>
  <si>
    <t>arv (tk)</t>
  </si>
  <si>
    <t>m³/tk</t>
  </si>
  <si>
    <t>m²/tk</t>
  </si>
  <si>
    <t>m²</t>
  </si>
  <si>
    <t>kg/tk</t>
  </si>
  <si>
    <t>kg</t>
  </si>
  <si>
    <t>tk/tk</t>
  </si>
  <si>
    <t>Ø40MAOK</t>
  </si>
  <si>
    <t>Ø50MAOK</t>
  </si>
  <si>
    <t>Ø60MAOK</t>
  </si>
  <si>
    <t>Ø100KOK</t>
  </si>
  <si>
    <t>EH 5</t>
  </si>
  <si>
    <t>otsakute lammutus (MAOK, Kap)</t>
  </si>
  <si>
    <t>plasttruup Ø40 cm, tüüp 40P, SN8</t>
  </si>
  <si>
    <t>plasttruup Ø50 cm, tüüp 50P, SN8</t>
  </si>
  <si>
    <t>plasttruup Ø60 cm, tüüp 60P, SN8</t>
  </si>
  <si>
    <t>plasttruup Ø100 cm, tüüp 100P, SN8</t>
  </si>
  <si>
    <t>Ø 50…80 (r/b, p)</t>
  </si>
  <si>
    <t>Ø40 MAOK. Truubi mattotsak kivikindlustusega</t>
  </si>
  <si>
    <t>EH4</t>
  </si>
  <si>
    <t>Tee rajatis</t>
  </si>
  <si>
    <t>M1 - mahasõidukoht (L=20, R=10 m)</t>
  </si>
  <si>
    <t>M3 - mahasõidukoht (A=4,5 m, R=10 m)</t>
  </si>
  <si>
    <t>MM - maantee mahasõidukoht</t>
  </si>
  <si>
    <t>MS - möödasõidukoht</t>
  </si>
  <si>
    <t>TP-T - T-kujuline tagasipööramise koht</t>
  </si>
  <si>
    <t>R3 - mahasõidukoht eramaale (A=4.5 m, R=5 m)</t>
  </si>
  <si>
    <t>Laiaaugu tee</t>
  </si>
  <si>
    <t>Latisilla tee</t>
  </si>
  <si>
    <t>Rämmi tee</t>
  </si>
  <si>
    <t>Vanaõue tee</t>
  </si>
  <si>
    <t>Reeperi</t>
  </si>
  <si>
    <t>number</t>
  </si>
  <si>
    <t>klass</t>
  </si>
  <si>
    <t>kirjeldus</t>
  </si>
  <si>
    <t>asukoha</t>
  </si>
  <si>
    <t>kõrgusarv m</t>
  </si>
  <si>
    <t>koordinaadid</t>
  </si>
  <si>
    <t>x</t>
  </si>
  <si>
    <t>y</t>
  </si>
  <si>
    <t>Aj 1</t>
  </si>
  <si>
    <t>ajutine</t>
  </si>
  <si>
    <t>nael</t>
  </si>
  <si>
    <t xml:space="preserve">Naelapea elektripostis, Latisilla teest vasakul, vahemikus pk 0+00 kuni 1+00. </t>
  </si>
  <si>
    <t>Aj 2</t>
  </si>
  <si>
    <t>raudvarras</t>
  </si>
  <si>
    <t>Raudvarras männi tüves, Latisilla teest vasakul, vahemikus pk 16+00 kuni 17+00.</t>
  </si>
  <si>
    <t>Aj 3</t>
  </si>
  <si>
    <t>Raudvarras sanglepa tüves, Latisilla teest paremal pk 33+00 juures.</t>
  </si>
  <si>
    <t>Aj 4</t>
  </si>
  <si>
    <t>Raudvarras männi tüves, Latisilla teest vasakul pk 44+00 juures.</t>
  </si>
  <si>
    <t>Aj 5</t>
  </si>
  <si>
    <t>elektriposti tõstekonks</t>
  </si>
  <si>
    <t>Elektriposti tõstekonks, Latisilla teest vasakul pk 49+00 juures.</t>
  </si>
  <si>
    <t>Aj 6</t>
  </si>
  <si>
    <t>Raudvarras kase tüves, Laiaaugu teest vasakul pk 8+00 juures.</t>
  </si>
  <si>
    <t>Aj 7</t>
  </si>
  <si>
    <t>tihendusvõrk</t>
  </si>
  <si>
    <t>riiklik geodeetiline punkt</t>
  </si>
  <si>
    <t>Riiklik geodeetiline punkt. Punkti nr 4067. Punkti nimi Siimika00. Rämmi teest paremal, vahemikus pk 0+00 kuni 1+00.</t>
  </si>
  <si>
    <t>Aj 8</t>
  </si>
  <si>
    <t>Raudvarras männi tüves, Rämmi teest paremal pk 12+00 ja Vanaõue teest paremal pk 0+00 juures.</t>
  </si>
  <si>
    <t>Aj E1</t>
  </si>
  <si>
    <t>Raudvarras männi tüves, eesvoolust 101 vasakul, vahemikus pk 2+00 kuni 3+00.</t>
  </si>
  <si>
    <t>Aj E2</t>
  </si>
  <si>
    <t>Raudvarras sanglepa tüves, eesvoolu 158 lõpus pk 1+94 juures.</t>
  </si>
  <si>
    <t xml:space="preserve">Märkused: </t>
  </si>
  <si>
    <t>Koordinaadid esitatakse tasapinnaliste ristkoordinaatide süsteemis L-Est97</t>
  </si>
  <si>
    <t>Kõrgusarvud esitatakse EH2000 kõrgussüsteemis</t>
  </si>
  <si>
    <t>Uurimistöö</t>
  </si>
  <si>
    <t>nimetus</t>
  </si>
  <si>
    <t>mõõt-ühik</t>
  </si>
  <si>
    <t>tegemise algus- ja lõppkuupäev</t>
  </si>
  <si>
    <t>tegija nimi</t>
  </si>
  <si>
    <t>kokku</t>
  </si>
  <si>
    <t>EH 4</t>
  </si>
  <si>
    <t>ha</t>
  </si>
  <si>
    <t>km</t>
  </si>
  <si>
    <t>Ajutiste reeperite paigaldamine</t>
  </si>
  <si>
    <t>objekt</t>
  </si>
  <si>
    <t>Kultuurtehnilised uurimised  veejuhtmetel</t>
  </si>
  <si>
    <t xml:space="preserve"> Truupide rekonstrueerimise ja ehitamisega seotud uurimistööd.</t>
  </si>
  <si>
    <t>Tee rekonstrueerimiseks vajalikud
uurimistööd (pinnase ja topogeodeetilised uurimistööd).</t>
  </si>
  <si>
    <t>Mahasõitude rekonstrueerimiseks või ehitamiseks vajalikud uurimistööd.</t>
  </si>
  <si>
    <t>Tagasipööramiskoha ehitamiseks vajalikud uurimistööd</t>
  </si>
  <si>
    <t>Keskmine</t>
  </si>
  <si>
    <t>Kaevemaht m3</t>
  </si>
  <si>
    <t>Pinnase paigalda-mine tee-muldesse</t>
  </si>
  <si>
    <t>Puittaimestiku raie ha</t>
  </si>
  <si>
    <t>Kändude</t>
  </si>
  <si>
    <t>Kopra-paisu likvideeri-mine</t>
  </si>
  <si>
    <t>Muu voolutakistuse likvideerimine</t>
  </si>
  <si>
    <t>Lama-puit</t>
  </si>
  <si>
    <t>Vee-viimari rajamine</t>
  </si>
  <si>
    <t>Kvartali nr</t>
  </si>
  <si>
    <t>Liigi tähis</t>
  </si>
  <si>
    <t>Põhja laius</t>
  </si>
  <si>
    <t>Nõlvus-tegur</t>
  </si>
  <si>
    <t>Sügavus</t>
  </si>
  <si>
    <t>Kaeve ristlõige</t>
  </si>
  <si>
    <t>Ekskavaatoriga</t>
  </si>
  <si>
    <t>Käsitsi</t>
  </si>
  <si>
    <t>Võsa Ø=2-8 cm</t>
  </si>
  <si>
    <t>Puistu</t>
  </si>
  <si>
    <t>Üksikute puudega maa-ala</t>
  </si>
  <si>
    <t>Juurimine</t>
  </si>
  <si>
    <t>Ära vedamine</t>
  </si>
  <si>
    <t>Sh pinnasegrupp</t>
  </si>
  <si>
    <t>I-II</t>
  </si>
  <si>
    <t>III</t>
  </si>
  <si>
    <t>Kaevest</t>
  </si>
  <si>
    <t>Vana pinnase-vall</t>
  </si>
  <si>
    <t>Madal       h ≤ 3m (MV)</t>
  </si>
  <si>
    <t xml:space="preserve">Kõrge       h ≥ 3m    (KV) </t>
  </si>
  <si>
    <t>Peen      Ø=8-15cm          (PP)</t>
  </si>
  <si>
    <t>Jäme Ø=15+cm     (JP)</t>
  </si>
  <si>
    <t>m2</t>
  </si>
  <si>
    <t>tm</t>
  </si>
  <si>
    <t>Y</t>
  </si>
  <si>
    <t>Z</t>
  </si>
  <si>
    <t>AA</t>
  </si>
  <si>
    <t>AB</t>
  </si>
  <si>
    <t>AC</t>
  </si>
  <si>
    <t>AD</t>
  </si>
  <si>
    <t>RE</t>
  </si>
  <si>
    <t>RT</t>
  </si>
  <si>
    <t>ET</t>
  </si>
  <si>
    <t>TEETRASS</t>
  </si>
  <si>
    <t>KKR</t>
  </si>
  <si>
    <t>RK</t>
  </si>
  <si>
    <t>EK</t>
  </si>
  <si>
    <t>kõik kokku</t>
  </si>
  <si>
    <t>Joonisele kantud kihtide nimetused peavad kattuma antud tabelisse märgitud liigi tähisega</t>
  </si>
  <si>
    <t>Võsa- ja puittaimestiku määratlemine:</t>
  </si>
  <si>
    <t>Veejuhtme nimetusele ei jäeta tühje lahreid, kui sama kraavi kohta esitatakse andmed kahel real</t>
  </si>
  <si>
    <t>MV</t>
  </si>
  <si>
    <t>madal võsa - puittaimede kõrgus on kuni 3 m, tüve läbimõõt 1,3 m kõrguselt mõõdetuna on 2-8 cm</t>
  </si>
  <si>
    <t>Looduslikku seisukorda jäävat kraavi tabelis ei näita</t>
  </si>
  <si>
    <t>KV</t>
  </si>
  <si>
    <t>kõrge võsa - puittaimede kõrgus on 3 m ja enam, tüve läbimõõt on 1,3 m kõrguselt mõõdetuna 2-8 cm</t>
  </si>
  <si>
    <t>Joonobjekti pikkused märgitakse täisarvuna (1 m)</t>
  </si>
  <si>
    <t>PP</t>
  </si>
  <si>
    <t>peenpuistu - puude tüve läbimõõt 1,3 m kõrguselt mõõdetuna on 8-15 cm, puuvõrade liitus on 30% ja enam</t>
  </si>
  <si>
    <r>
      <t>Kraavi keskmine sügavus ja kaeve ristlõige märgitakse täpsusega 0,1 m või m</t>
    </r>
    <r>
      <rPr>
        <vertAlign val="superscript"/>
        <sz val="10"/>
        <color theme="1"/>
        <rFont val="Arial"/>
        <family val="2"/>
      </rPr>
      <t>2</t>
    </r>
  </si>
  <si>
    <t>JP</t>
  </si>
  <si>
    <t>jämepuistu - puude tüve läbimõõt 1,3 m kõrguselt mõõdetuna on 15 cm ja enam, puuvõrade liitus on 30% ja enam</t>
  </si>
  <si>
    <r>
      <t>Kaeve- ja pinnasemahud märgitakse täisarvuna (1 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)</t>
    </r>
  </si>
  <si>
    <t>üksikutega puudega maa-alal on puuvõrade liitus kuni 30%</t>
  </si>
  <si>
    <t>Raie- ja juurimisemahud esitatakse täpsusega 0,01 ha</t>
  </si>
  <si>
    <t>Pinnasegrupid (tabeli päisesse lisada vastavalt vajadusele):</t>
  </si>
  <si>
    <t>Pinnasegrupid vastavalt Eesti Standardile EVS:885:2005, lk 21</t>
  </si>
  <si>
    <t>Liigitähiste selgitus:</t>
  </si>
  <si>
    <t>kasvupinnas, pindmine pinnasekiht, mis anorgaanilise ainese nt liiva-, kruusa-, saviliiva- ja savisegudekõrval sisaldab huumust ja elusosa, sh turvast</t>
  </si>
  <si>
    <t>rekonstrueeritav eesvool</t>
  </si>
  <si>
    <t>rekonstrueeritav teekraav</t>
  </si>
  <si>
    <t>II</t>
  </si>
  <si>
    <t>voolav pinnas, vedelatest kuni taignaliste omadustega, veega küllastunud savipinnas, peenliivad ja möllid allpool pinnasevee taset</t>
  </si>
  <si>
    <t>UE</t>
  </si>
  <si>
    <t>uuendatav eesvool</t>
  </si>
  <si>
    <t>ehitatav teekraav</t>
  </si>
  <si>
    <t>kergelt kaevatav pinnas, mitte sidusad ja nõrgalt sidusad liivad, kruusad, liiva-kruusasegud, möllikas ja savikas liiv ning kruus</t>
  </si>
  <si>
    <t>HE</t>
  </si>
  <si>
    <t>hooldatav eesvool</t>
  </si>
  <si>
    <t>UT</t>
  </si>
  <si>
    <t>uuendatav teekraav</t>
  </si>
  <si>
    <t>IV</t>
  </si>
  <si>
    <t>keskmise raskusega kaevatav pinnas, mölline ja savine liiv ning kruus, möll ja savi, veeriste sisaldus vähem kui 30%</t>
  </si>
  <si>
    <t>EE</t>
  </si>
  <si>
    <t>ehitatav eesvool</t>
  </si>
  <si>
    <t>HT</t>
  </si>
  <si>
    <t>hooldatav teekraav</t>
  </si>
  <si>
    <t>raskelt kaevatav pinnas, sama, kui III ja IV klass, veeriste ja rahnude sisaldus enam kui 30%</t>
  </si>
  <si>
    <t>rekonstrueeritav kuivenduskraav</t>
  </si>
  <si>
    <t>ehitatav nõva</t>
  </si>
  <si>
    <t>VI</t>
  </si>
  <si>
    <t>raskelt kaevatav kalju- ja sellega võrreldav pinnas, tugevalt lõhenenud, rabe, murenenud, pehme või porsunud kaljupinnas, ka nendega võrreldavad kõvad või kõvastunud pinnased</t>
  </si>
  <si>
    <t>ehitatav kuivenduskraav</t>
  </si>
  <si>
    <t>teetrassi laiendus (kraavita pool), sh teerajatised</t>
  </si>
  <si>
    <t>VII</t>
  </si>
  <si>
    <t>murenemata kaljupinnas</t>
  </si>
  <si>
    <t>UK</t>
  </si>
  <si>
    <t>uuendatav kuivenduskraav</t>
  </si>
  <si>
    <t>keskonnakaitserajatise raieala</t>
  </si>
  <si>
    <t>Kui tabel paikneb mitmel lehel, tuleb tabeli jätkule lisada päis</t>
  </si>
  <si>
    <t>HK</t>
  </si>
  <si>
    <t>hooldatav kuivenduskraav</t>
  </si>
  <si>
    <t>Veeviimari ehitusmaterjalide kogused märgitakse tabelisse 10</t>
  </si>
  <si>
    <t>Näed kokku väärtusi, mida ehitise kohta soovid kontrollida</t>
  </si>
  <si>
    <t xml:space="preserve">kokku </t>
  </si>
  <si>
    <t>Kõik kokku</t>
  </si>
  <si>
    <t>KL163</t>
  </si>
  <si>
    <t>KL164</t>
  </si>
  <si>
    <t>KL169</t>
  </si>
  <si>
    <t>KL164,KL169</t>
  </si>
  <si>
    <t>1:1.5</t>
  </si>
  <si>
    <t>1:2</t>
  </si>
  <si>
    <t>301A</t>
  </si>
  <si>
    <r>
      <t>Pinnasevalli laialiajamine m</t>
    </r>
    <r>
      <rPr>
        <vertAlign val="superscript"/>
        <sz val="10"/>
        <rFont val="Arial"/>
        <family val="2"/>
      </rPr>
      <t>3</t>
    </r>
  </si>
  <si>
    <r>
      <t>m</t>
    </r>
    <r>
      <rPr>
        <vertAlign val="superscript"/>
        <sz val="10"/>
        <rFont val="Arial"/>
        <family val="2"/>
      </rPr>
      <t>3</t>
    </r>
  </si>
  <si>
    <t>KL163, KL164, KL169</t>
  </si>
  <si>
    <t>KL196, KL197</t>
  </si>
  <si>
    <t>KL186</t>
  </si>
  <si>
    <t>KL186, KL197</t>
  </si>
  <si>
    <t>KL188, KL200</t>
  </si>
  <si>
    <t>KL189</t>
  </si>
  <si>
    <t>KL188</t>
  </si>
  <si>
    <t>KL189, KL190,</t>
  </si>
  <si>
    <t>KL217, KL216</t>
  </si>
  <si>
    <t>KL216. KL202</t>
  </si>
  <si>
    <t>Ehitusmaterjali või -toote nimetus</t>
  </si>
  <si>
    <t>Kogus</t>
  </si>
  <si>
    <t>Truupide torustikud ja otsakud, veeviimarid ja kindlustised</t>
  </si>
  <si>
    <t>Ø 50 cm profileeritud plasttoru, SN8</t>
  </si>
  <si>
    <t>Ø 100 cm profileeritud plasttoru, SN8</t>
  </si>
  <si>
    <t>Kivid Ø 15-30 cm</t>
  </si>
  <si>
    <t>Geotekstiil, 2 profiil (NGS 2)</t>
  </si>
  <si>
    <r>
      <t>m</t>
    </r>
    <r>
      <rPr>
        <vertAlign val="superscript"/>
        <sz val="10"/>
        <color theme="1"/>
        <rFont val="Arial"/>
        <family val="2"/>
      </rPr>
      <t>2</t>
    </r>
  </si>
  <si>
    <t>Huumusmuld</t>
  </si>
  <si>
    <t>Erosioonitõkkematt, džuudikiust võrguga</t>
  </si>
  <si>
    <t>Heinaseeme</t>
  </si>
  <si>
    <t>Puuvaiad</t>
  </si>
  <si>
    <t>Täitepinnas veejuhtme täitmiseks, mineraalpinnas</t>
  </si>
  <si>
    <t>Tähispostid truupidele</t>
  </si>
  <si>
    <t>Teede ja teede rajatiste materjalid</t>
  </si>
  <si>
    <t>Toote või materjali nimetus</t>
  </si>
  <si>
    <t>Kogus kokku</t>
  </si>
  <si>
    <t>Kruus fr 0/32 (pos 6)</t>
  </si>
  <si>
    <t>Kruus fr 0/63 mm (pos 3)</t>
  </si>
  <si>
    <t>Geotekstiil, 4 profiil (NGS 4), mitte kootud, laius 5,0 m</t>
  </si>
  <si>
    <t>Liiklusmärk nr 221 "Anna teed" komplekt</t>
  </si>
  <si>
    <t>Mineraalpinnas muldkeha ehitamiseks</t>
  </si>
  <si>
    <t>Puistematerjali mahud on profiilsed</t>
  </si>
  <si>
    <t>Geosünteetidel ei ole arvestatud ülekattemahte</t>
  </si>
  <si>
    <t>Ø 60 cm profileeritud plasttoru, SN9</t>
  </si>
  <si>
    <t>Ø 40 cm profileeritud plasttoru, SN8</t>
  </si>
  <si>
    <t>Laiaaugu tee EH2</t>
  </si>
  <si>
    <t>Latisilla tee EH3</t>
  </si>
  <si>
    <t>Rämmi tee EH4</t>
  </si>
  <si>
    <t>Vanaõue tee EH5</t>
  </si>
  <si>
    <t xml:space="preserve">Materjalid riigiteega ristumiskoha ehitamiseks. Mahasõidukoht tüüp MM vastavalt TPA projekteerimistingimustele </t>
  </si>
  <si>
    <t>I.Ettevalmistustööd</t>
  </si>
  <si>
    <t>Tee parameetrite ja -elementide mahamärkimine (telg, servad, kraavide siseservad)</t>
  </si>
  <si>
    <t>Tee rajatiste mahamärkimine</t>
  </si>
  <si>
    <t>Olemasoleva teemulde töötlemine profiili koos teekraede likvideerimisega ning mulde tihendamisega</t>
  </si>
  <si>
    <t>Mahasõidukoht M3 muldkeha ja katendi ehitamine koos tihendamisega  (L=10 m, R=10 m)</t>
  </si>
  <si>
    <t>Nõuetekohase teostusmõõdistuse koostamine</t>
  </si>
  <si>
    <t>töö</t>
  </si>
  <si>
    <t>Teemulde ehitamine teekraavide pinnasest koos tihendamisega</t>
  </si>
  <si>
    <t>Kruusast teealuse ehitamine koos tihendamisega. Kruus fr 0/63 mm. Pos 4, H=20 cm. sh kruus fr 0/63 mm (Pos 4), geomeetriline maht koos hanke, pealelaadimise ja veoga</t>
  </si>
  <si>
    <t>Kruusast teekatte ehitamine koos tihendamisega. Kruus fr 0/32 mm. Pos 6, H=10 cm. sh kruus fr 0/32 mm (Pos 6), geomeetriline maht koos hanke, pealelaadimise ja veoga</t>
  </si>
  <si>
    <r>
      <t>m</t>
    </r>
    <r>
      <rPr>
        <vertAlign val="superscript"/>
        <sz val="10"/>
        <color theme="1"/>
        <rFont val="Arial"/>
        <family val="2"/>
        <charset val="186"/>
      </rPr>
      <t>3</t>
    </r>
  </si>
  <si>
    <t>Mahasõidukoht M5 geotekstiili 4. profiil (NGS 4), mitte kootud kangas, laiusega 5,0 m, paigaldamine tihendatud ja profileeritud muldkehale</t>
  </si>
  <si>
    <r>
      <t>m</t>
    </r>
    <r>
      <rPr>
        <vertAlign val="superscript"/>
        <sz val="10"/>
        <color theme="1"/>
        <rFont val="Arial"/>
        <family val="2"/>
        <charset val="186"/>
      </rPr>
      <t>2</t>
    </r>
  </si>
  <si>
    <t>Mahasõidukoht M5 kruus fr 0/63 mm (Pos 4), geomeetriline maht koos hanke, pealelaadimise ja veoga, H=20cm</t>
  </si>
  <si>
    <t>Mahasõidukoht M5 kruus fr 0/32 mm (Pos 6), geomeetriline maht koos hanke, pealelaadimise ja veoga, H=10cm</t>
  </si>
  <si>
    <t>Mahasõidukoht M3 muldkeha ehitamine kraavide rajamisel saadud pinnasest, H=30 cm</t>
  </si>
  <si>
    <t>Mahasõidukoht M3 geotekstiili 4. profiil (NGS 4), mitte kootud kangas, laiusega 5,0 m, paigaldamine tihendatud ja profileeritud muldkehale</t>
  </si>
  <si>
    <t>Mahasõidukoht M3 kruus fr 0/63 mm (Pos 4), geomeetriline maht koos hanke, pealelaadimise ja veoga, H=20cm</t>
  </si>
  <si>
    <t>Mahasõidukoht M3 kruus fr 0/32 mm (Pos 6), geomeetriline maht koos hanke, pealelaadimise ja veoga, H=10cm</t>
  </si>
  <si>
    <t>Mahasõidukoht R3 muldkeha ja katendi ehitamine koos tihendamisega  (L=5 m, R=5 m)</t>
  </si>
  <si>
    <t>Mahasõidukoht R3 muldkeha ehitamine kraavide rajamisel saadud pinnasest. H=30 cm</t>
  </si>
  <si>
    <t>Mahasõidukoht R3 geotekstiili 4. profiil (NGS 4), mitte kootud kangas, laiusega 5,0 m, paigaldamine tihendatud ja profileeritud muldkehale</t>
  </si>
  <si>
    <t>Mahasõidukoht R3 kruus fr 0/63 mm (Pos 4), geomeetriline maht koos hanke, pealelaadimise ja veoga, H=20cm</t>
  </si>
  <si>
    <t>Mahasõidukoht R3 kruus fr 0/32 mm (Pos 6), geomeetriline maht koos hanke, pealelaadimise ja veoga, H=10cm</t>
  </si>
  <si>
    <t>T-kujulise tagasipööramiskoha TP-T muldkeha ja katendi ehitamine koos tihendamisega</t>
  </si>
  <si>
    <t>T-kujulise tagasipööramiskoha TP-T muldkeha ehitamine kraavide rajamisel saadud pinnasest, H=30 cm</t>
  </si>
  <si>
    <t>T-kujulise tagasipööramiskoha TP-T geotekstiili 4. profiil (NGS 4), mitte kootud kangas, laiusega 5,0 m, paigaldamine tihendatud ja profileeritud muldkehale</t>
  </si>
  <si>
    <t>T-kujulise tagasipööramiskoha TP-T kruus fr 0/63 mm (Pos 4), geomeetriline maht koos hanke, pealelaadimise ja veoga, H=20cm</t>
  </si>
  <si>
    <t>T-kujulise tagasipööramiskoha TP-T  kruus fr 0/32 mm (Pos 6), geomeetriline maht koos hanke, pealelaadimise ja veoga, H=10cm</t>
  </si>
  <si>
    <t>Mahasõidukoha MM ehitamine vastavalt põhiprojektile PP-21-41 (Lisa 7)</t>
  </si>
  <si>
    <t>Liiklusmärgi "anna teed" nr 221 paigaldamine</t>
  </si>
  <si>
    <t>Geotekstiili 4. profiil (NGS 4), mitte kootud kangas, laisuega 5,0-7.5 m, paigaldamine tihendatud ja profileeritud muldkehale</t>
  </si>
  <si>
    <t>Mahasõidukoht M1 muldkeha ja katendi ehitamine koos tihendamisega  (L=20 m, R=10 m)</t>
  </si>
  <si>
    <t>Möödasõidukoha MS muldkeha ja katendi ehitamine koos tihendamisega</t>
  </si>
  <si>
    <t>Möödasõidukoha MS geotekstiili 4. profiil (NGS 4), mitte kootud kangas, laiusega 5,0 m, paigaldamine tihendatud ja profileeritud muldkehale</t>
  </si>
  <si>
    <t>Möödasõidukoha MS kruus fr 0/63 mm (Pos 4), geomeetriline maht koos hanke, pealelaadimise ja veoga, H=20cm</t>
  </si>
  <si>
    <t>Möödasõidukoha MS kruus fr 0/32 mm (Pos 6), geomeetriline maht koos hanke, pealelaadimise ja veoga, H=10cm</t>
  </si>
  <si>
    <t>Ühiku maksumus (€)</t>
  </si>
  <si>
    <t>Hinde alus</t>
  </si>
  <si>
    <t>Töö maksumus (€)</t>
  </si>
  <si>
    <t>A-90</t>
  </si>
  <si>
    <t>kalk</t>
  </si>
  <si>
    <t>T-962</t>
  </si>
  <si>
    <t>T-884, V-45</t>
  </si>
  <si>
    <t>T-959</t>
  </si>
  <si>
    <t>S-257</t>
  </si>
  <si>
    <t>kalk.</t>
  </si>
  <si>
    <t>Osamaksumused kokku:</t>
  </si>
  <si>
    <t>Käibemaks:</t>
  </si>
  <si>
    <t>Kogumaksumus:</t>
  </si>
  <si>
    <t>Rekonstrueeritava tee koondpikkus</t>
  </si>
  <si>
    <t>Tabel 1. Teede rekonstrueerimise- ja ehitustööde koondmahud</t>
  </si>
  <si>
    <t>Tabel 2. Vajalike ehitusmaterjalide ja -toodete andmed</t>
  </si>
  <si>
    <t>Tabel 3. Uurimistööde loetelu</t>
  </si>
  <si>
    <t>Tabel 4. Reeperite loetelu</t>
  </si>
  <si>
    <t>Tabel 5. Teede rajatised</t>
  </si>
  <si>
    <t>Tabel 6. Kultuurtehniliste tööde ja veejuhtme kaevetööde mahud</t>
  </si>
  <si>
    <t>Tabel 7. Rekonstrueeritavate, ehitatavate, uuendatavate ja likvideeritavate truupide tööde mahud</t>
  </si>
  <si>
    <t>Tabel 7A. Rekonstrueeritavad truubid</t>
  </si>
  <si>
    <t>Tabel 7B. Ehitatavad truubid</t>
  </si>
  <si>
    <t>Tabel 7D. Likvideeritavad truubid</t>
  </si>
  <si>
    <t>Tabel 8. Truupide/veeviimarite/purrete koguste ja ehitusmaterjalide kogused</t>
  </si>
  <si>
    <t>Tabel 9. Rekonstrueeritavate ja ehitatavate teede katendite mahud ristprofiilide lõikes</t>
  </si>
  <si>
    <t>Tabel 10. Teede rekonstrueerimise- ja ehitustööde ligikaudne maksumus</t>
  </si>
  <si>
    <t>Kl169</t>
  </si>
  <si>
    <t>KL164, Kl169</t>
  </si>
  <si>
    <t>302A</t>
  </si>
  <si>
    <t>303A</t>
  </si>
  <si>
    <t>KL195</t>
  </si>
  <si>
    <t>304A</t>
  </si>
  <si>
    <t>KL197</t>
  </si>
  <si>
    <t>305A</t>
  </si>
  <si>
    <t>306A</t>
  </si>
  <si>
    <t>307A</t>
  </si>
  <si>
    <t>308A</t>
  </si>
  <si>
    <t>309A</t>
  </si>
  <si>
    <t>310A</t>
  </si>
  <si>
    <t>KL198</t>
  </si>
  <si>
    <t>311A</t>
  </si>
  <si>
    <t>KL187</t>
  </si>
  <si>
    <t>312A</t>
  </si>
  <si>
    <t>313A</t>
  </si>
  <si>
    <t>T29</t>
  </si>
  <si>
    <t>T210</t>
  </si>
  <si>
    <t>T211</t>
  </si>
  <si>
    <t>T12</t>
  </si>
  <si>
    <t>T322</t>
  </si>
  <si>
    <t>T323</t>
  </si>
  <si>
    <t>T324</t>
  </si>
  <si>
    <t>T325</t>
  </si>
  <si>
    <t>T326</t>
  </si>
  <si>
    <t>T327</t>
  </si>
  <si>
    <t>Madala võsa raie (MV)</t>
  </si>
  <si>
    <t>Madala võsa vedu 600 m  (MV)</t>
  </si>
  <si>
    <t>Kõrge võsa raie (KV)</t>
  </si>
  <si>
    <t>Kõrge võsa vedu 600 m (KV)</t>
  </si>
  <si>
    <t>Puittaimestiku raie, peenpuistu  (PP)</t>
  </si>
  <si>
    <t>Tüveste vedu 600 m, peenpuistu (PP)</t>
  </si>
  <si>
    <t>Tee- ja kraavitrassi ning teerajatiste alune kändude juurimine ekskavaatoriga</t>
  </si>
  <si>
    <t>Kändude koondamine hunnikutesse</t>
  </si>
  <si>
    <t>Puittaimestiku raie, jämepuistu  (JP)</t>
  </si>
  <si>
    <t>Tüveste vedu 600 m, kämepuistu (JP)</t>
  </si>
  <si>
    <t>Uute kraavide ja nõvade mahamärkimine</t>
  </si>
  <si>
    <t>Kraavide kaevamine ja setetest puhastamine, I-II gr. Pinnas</t>
  </si>
  <si>
    <t>II.Veejuhtmete tööd</t>
  </si>
  <si>
    <t>Ekspluatatsioonieelne sette eemaldamine ekskavaatoriga (10% põhikaevest)</t>
  </si>
  <si>
    <t>Olemasoleva tee tasandamisjärgne teekraavide täiendav puhastamine varisenud pinnasest</t>
  </si>
  <si>
    <t>Kaeve laialiajamine (60% kaevest)</t>
  </si>
  <si>
    <t>Pinnase paigaldamine tee muldesse</t>
  </si>
  <si>
    <t>Setteekraani paigaldamine</t>
  </si>
  <si>
    <t>Maapinna tasandamine Latisilla tee PK 21+30 juures</t>
  </si>
  <si>
    <t>Teemulde ehitamine juurdeveetavast pinnasest koos tihendamisega</t>
  </si>
  <si>
    <t>Mahasõidukoht M5 muldkeha ehitamine juurdeveetavast pinnasest, H=30 cm</t>
  </si>
  <si>
    <t>Mahasõidukoht M3 muldkeha ehitamine juurdeveetavast pinnasest, H=30 cm</t>
  </si>
  <si>
    <t>Mahasõidukoht R3 muldkeha ehitamine juurdeveetavast pinnasest. H=30 cm</t>
  </si>
  <si>
    <t>T-kujulise tagasipööramiskoha TP-T muldkeha ehitamine juurdeveetavast pinnasest, H=30 cm</t>
  </si>
  <si>
    <t>Möödasõidukoha MS muldkeha ehitamine juurdeveetavast pinnasest. H=30 cm</t>
  </si>
  <si>
    <t>H1</t>
  </si>
  <si>
    <t>H-7</t>
  </si>
  <si>
    <t>H-13</t>
  </si>
  <si>
    <t>T-36-3</t>
  </si>
  <si>
    <t>T-22</t>
  </si>
  <si>
    <t>T-14</t>
  </si>
  <si>
    <t>T-463</t>
  </si>
  <si>
    <t>T-123</t>
  </si>
  <si>
    <t>T-329</t>
  </si>
  <si>
    <t>T-881</t>
  </si>
  <si>
    <t>IV.Mullatööd / teemulde kujundamine</t>
  </si>
  <si>
    <t>V.Kattekonstruktsiooni rajamine</t>
  </si>
  <si>
    <t>VI.Teede rajatised</t>
  </si>
  <si>
    <t>VII. Muud tööd</t>
  </si>
  <si>
    <t>Truupide mahamärkimine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</si>
  <si>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</si>
  <si>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</si>
  <si>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</si>
  <si>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 xml:space="preserve">Ø 40 cm plasttruubi mattotsaku kivikindlustusega ehitamine (tüüp MAOK) </t>
  </si>
  <si>
    <t xml:space="preserve">Ø 50 cm plasttruubi mattotsaku kivikindlustusega ehitamine (tüüp MAOK) </t>
  </si>
  <si>
    <t xml:space="preserve">Ø 60 cm plasttruubi mattotsaku kivikindlustusega ehitamine (tüüp MAOK) </t>
  </si>
  <si>
    <t>Veejuhtme täide mineraalpinnasega</t>
  </si>
  <si>
    <t>Täiendav kaeve truupide ehitamisel</t>
  </si>
  <si>
    <t>Tähispostid truubile</t>
  </si>
  <si>
    <t>Truubi otsakute lammutamine ja utiliseerimine</t>
  </si>
  <si>
    <t>Di=100 cm plasttruubi torustiku, tüüp 100PT, ehitamine (profileeritud plasttoru, SN8)</t>
  </si>
  <si>
    <t xml:space="preserve">Ø 100 cm plasttruubi kivikindlustusega ehitamine (tüüp KOK) </t>
  </si>
  <si>
    <t>III.Truupide rekonstrueerimine ja ehitamine</t>
  </si>
  <si>
    <t>Ø 50…80 cm truubitoru (r/b, p) väljatõstmine ja utiliseerimine</t>
  </si>
  <si>
    <t>A-91</t>
  </si>
  <si>
    <t>S-72</t>
  </si>
  <si>
    <t>S-73</t>
  </si>
  <si>
    <t>S-74</t>
  </si>
  <si>
    <t>S-117</t>
  </si>
  <si>
    <t>S-118</t>
  </si>
  <si>
    <t>S-288</t>
  </si>
  <si>
    <t>S-276</t>
  </si>
  <si>
    <t>18.05, 7.06, 10.10, 2.11 ja 22.11</t>
  </si>
  <si>
    <t>M.Elmaste ja L.Petrutis</t>
  </si>
  <si>
    <t>Setteekraani materjalid</t>
  </si>
  <si>
    <t>Põhupakid  45x45x65</t>
  </si>
  <si>
    <t>Puitvaiad h=180cm Ø7.5cm</t>
  </si>
  <si>
    <t>Laud 22x150mm</t>
  </si>
  <si>
    <t>Kivid, veerised Ø30cm</t>
  </si>
  <si>
    <t>Geotekstiil NGS 2</t>
  </si>
  <si>
    <t>S-76</t>
  </si>
  <si>
    <t>S-120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</si>
</sst>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&quot;€&quot;"/>
  </numFmts>
  <fonts count="3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color theme="1"/>
      <name val="Arial"/>
      <family val="2"/>
      <charset val="186"/>
    </font>
    <font>
      <b/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Calibri"/>
      <family val="2"/>
      <charset val="186"/>
      <scheme val="minor"/>
    </font>
    <font>
      <sz val="10"/>
      <color theme="1"/>
      <name val="Arial"/>
      <family val="2"/>
    </font>
    <font>
      <sz val="11"/>
      <color theme="1"/>
      <name val="Arial"/>
      <family val="2"/>
      <charset val="186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3F3F76"/>
      <name val="Arial"/>
      <family val="2"/>
    </font>
    <font>
      <sz val="10"/>
      <color theme="1"/>
      <name val="Calibri"/>
      <family val="2"/>
    </font>
    <font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  <charset val="186"/>
    </font>
    <font>
      <sz val="10"/>
      <color theme="9" tint="-0.249977111117893"/>
      <name val="Arial"/>
      <family val="2"/>
    </font>
    <font>
      <sz val="10"/>
      <name val="Arial"/>
      <family val="2"/>
      <charset val="186"/>
    </font>
    <font>
      <sz val="10"/>
      <color theme="9" tint="-0.249977111117893"/>
      <name val="Arial"/>
      <family val="2"/>
      <charset val="186"/>
    </font>
    <font>
      <vertAlign val="superscript"/>
      <sz val="10"/>
      <color theme="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i/>
      <sz val="9"/>
      <color theme="1"/>
      <name val="Arial"/>
      <family val="2"/>
    </font>
    <font>
      <b/>
      <i/>
      <sz val="10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0" fillId="0" borderId="0"/>
  </cellStyleXfs>
  <cellXfs count="426">
    <xf numFmtId="0" fontId="0" fillId="0" borderId="0" xfId="0"/>
    <xf numFmtId="0" fontId="2" fillId="0" borderId="0" xfId="0" applyFont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3" fillId="0" borderId="1" xfId="1" applyFont="1" applyFill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4" fontId="0" fillId="0" borderId="0" xfId="0" applyNumberFormat="1"/>
    <xf numFmtId="2" fontId="9" fillId="0" borderId="38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6" fillId="0" borderId="0" xfId="0" applyFont="1"/>
    <xf numFmtId="0" fontId="11" fillId="0" borderId="32" xfId="0" applyFont="1" applyBorder="1" applyAlignment="1">
      <alignment horizontal="center"/>
    </xf>
    <xf numFmtId="0" fontId="4" fillId="0" borderId="3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top"/>
    </xf>
    <xf numFmtId="0" fontId="6" fillId="0" borderId="32" xfId="0" applyFont="1" applyBorder="1" applyAlignment="1">
      <alignment horizontal="center" vertical="top" wrapText="1"/>
    </xf>
    <xf numFmtId="0" fontId="9" fillId="0" borderId="32" xfId="0" applyFont="1" applyBorder="1" applyAlignment="1">
      <alignment horizontal="center"/>
    </xf>
    <xf numFmtId="0" fontId="20" fillId="0" borderId="32" xfId="0" applyFont="1" applyBorder="1" applyAlignment="1">
      <alignment horizontal="center"/>
    </xf>
    <xf numFmtId="0" fontId="20" fillId="0" borderId="32" xfId="0" applyFont="1" applyBorder="1" applyAlignment="1">
      <alignment horizontal="center" vertical="center"/>
    </xf>
    <xf numFmtId="1" fontId="20" fillId="0" borderId="32" xfId="0" applyNumberFormat="1" applyFont="1" applyBorder="1" applyAlignment="1">
      <alignment horizontal="center"/>
    </xf>
    <xf numFmtId="0" fontId="21" fillId="0" borderId="32" xfId="0" applyFont="1" applyBorder="1" applyAlignment="1">
      <alignment horizontal="center"/>
    </xf>
    <xf numFmtId="0" fontId="21" fillId="0" borderId="32" xfId="0" applyFont="1" applyBorder="1" applyAlignment="1">
      <alignment horizontal="center" vertical="center"/>
    </xf>
    <xf numFmtId="1" fontId="21" fillId="0" borderId="32" xfId="0" applyNumberFormat="1" applyFont="1" applyBorder="1" applyAlignment="1">
      <alignment horizontal="center"/>
    </xf>
    <xf numFmtId="2" fontId="20" fillId="0" borderId="32" xfId="0" applyNumberFormat="1" applyFont="1" applyBorder="1" applyAlignment="1">
      <alignment horizontal="center"/>
    </xf>
    <xf numFmtId="0" fontId="11" fillId="3" borderId="32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1" fontId="11" fillId="3" borderId="32" xfId="0" applyNumberFormat="1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/>
    </xf>
    <xf numFmtId="0" fontId="20" fillId="3" borderId="32" xfId="0" applyFont="1" applyFill="1" applyBorder="1" applyAlignment="1">
      <alignment horizontal="center"/>
    </xf>
    <xf numFmtId="0" fontId="20" fillId="3" borderId="32" xfId="0" applyFont="1" applyFill="1" applyBorder="1" applyAlignment="1">
      <alignment horizontal="center" vertical="center"/>
    </xf>
    <xf numFmtId="1" fontId="20" fillId="3" borderId="32" xfId="0" applyNumberFormat="1" applyFont="1" applyFill="1" applyBorder="1" applyAlignment="1">
      <alignment horizontal="center"/>
    </xf>
    <xf numFmtId="0" fontId="9" fillId="0" borderId="47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Alignment="1">
      <alignment horizontal="center" vertical="center"/>
    </xf>
    <xf numFmtId="0" fontId="4" fillId="0" borderId="32" xfId="0" applyFont="1" applyBorder="1" applyAlignment="1">
      <alignment horizontal="center"/>
    </xf>
    <xf numFmtId="164" fontId="4" fillId="0" borderId="32" xfId="0" applyNumberFormat="1" applyFont="1" applyBorder="1" applyAlignment="1">
      <alignment horizontal="center"/>
    </xf>
    <xf numFmtId="1" fontId="4" fillId="0" borderId="32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7" fillId="0" borderId="3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/>
    </xf>
    <xf numFmtId="1" fontId="11" fillId="0" borderId="32" xfId="0" applyNumberFormat="1" applyFont="1" applyBorder="1" applyAlignment="1">
      <alignment horizontal="center"/>
    </xf>
    <xf numFmtId="164" fontId="11" fillId="0" borderId="32" xfId="0" applyNumberFormat="1" applyFont="1" applyBorder="1" applyAlignment="1">
      <alignment horizontal="center"/>
    </xf>
    <xf numFmtId="0" fontId="23" fillId="0" borderId="0" xfId="0" applyFont="1"/>
    <xf numFmtId="0" fontId="2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5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32" xfId="0" applyFont="1" applyBorder="1" applyAlignment="1">
      <alignment vertical="center" wrapText="1"/>
    </xf>
    <xf numFmtId="0" fontId="3" fillId="0" borderId="32" xfId="0" applyFont="1" applyBorder="1" applyAlignment="1">
      <alignment horizontal="center" vertical="center" wrapText="1"/>
    </xf>
    <xf numFmtId="0" fontId="27" fillId="0" borderId="0" xfId="0" applyFont="1"/>
    <xf numFmtId="0" fontId="9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2" fontId="9" fillId="0" borderId="47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2" fontId="9" fillId="0" borderId="53" xfId="0" applyNumberFormat="1" applyFont="1" applyBorder="1" applyAlignment="1">
      <alignment horizontal="center" vertical="center"/>
    </xf>
    <xf numFmtId="0" fontId="28" fillId="0" borderId="0" xfId="0" applyFont="1"/>
    <xf numFmtId="1" fontId="9" fillId="0" borderId="32" xfId="0" applyNumberFormat="1" applyFont="1" applyBorder="1" applyAlignment="1">
      <alignment horizontal="center" vertical="center"/>
    </xf>
    <xf numFmtId="0" fontId="1" fillId="0" borderId="1" xfId="1" applyFill="1"/>
    <xf numFmtId="0" fontId="9" fillId="0" borderId="0" xfId="0" applyFont="1" applyAlignment="1">
      <alignment horizontal="center" vertical="center" wrapText="1"/>
    </xf>
    <xf numFmtId="0" fontId="3" fillId="0" borderId="32" xfId="0" applyFont="1" applyBorder="1" applyAlignment="1">
      <alignment vertical="center" wrapText="1"/>
    </xf>
    <xf numFmtId="1" fontId="9" fillId="0" borderId="32" xfId="0" applyNumberFormat="1" applyFont="1" applyBorder="1" applyAlignment="1">
      <alignment horizontal="center" vertical="center" wrapText="1"/>
    </xf>
    <xf numFmtId="1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/>
    </xf>
    <xf numFmtId="0" fontId="15" fillId="4" borderId="32" xfId="0" applyFont="1" applyFill="1" applyBorder="1" applyAlignment="1">
      <alignment horizontal="center" vertical="center"/>
    </xf>
    <xf numFmtId="0" fontId="36" fillId="0" borderId="32" xfId="0" applyFont="1" applyBorder="1" applyAlignment="1">
      <alignment horizontal="center"/>
    </xf>
    <xf numFmtId="0" fontId="37" fillId="0" borderId="32" xfId="0" applyFont="1" applyBorder="1" applyAlignment="1">
      <alignment horizontal="center"/>
    </xf>
    <xf numFmtId="0" fontId="36" fillId="0" borderId="32" xfId="0" applyFont="1" applyBorder="1" applyAlignment="1">
      <alignment horizontal="center" vertical="center"/>
    </xf>
    <xf numFmtId="1" fontId="37" fillId="0" borderId="32" xfId="0" applyNumberFormat="1" applyFont="1" applyBorder="1" applyAlignment="1">
      <alignment horizontal="center" vertical="center"/>
    </xf>
    <xf numFmtId="1" fontId="38" fillId="0" borderId="32" xfId="0" applyNumberFormat="1" applyFont="1" applyBorder="1" applyAlignment="1">
      <alignment horizontal="center" vertical="center"/>
    </xf>
    <xf numFmtId="2" fontId="15" fillId="0" borderId="32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1" fontId="25" fillId="4" borderId="32" xfId="0" applyNumberFormat="1" applyFont="1" applyFill="1" applyBorder="1" applyAlignment="1">
      <alignment horizontal="center" vertical="center"/>
    </xf>
    <xf numFmtId="1" fontId="15" fillId="0" borderId="32" xfId="0" applyNumberFormat="1" applyFont="1" applyBorder="1" applyAlignment="1">
      <alignment horizontal="center" vertical="center"/>
    </xf>
    <xf numFmtId="2" fontId="15" fillId="0" borderId="32" xfId="0" applyNumberFormat="1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2" xfId="0" applyFont="1" applyBorder="1"/>
    <xf numFmtId="165" fontId="25" fillId="0" borderId="32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32" xfId="0" applyFont="1" applyBorder="1" applyAlignment="1">
      <alignment horizontal="center" wrapText="1"/>
    </xf>
    <xf numFmtId="0" fontId="25" fillId="0" borderId="32" xfId="0" applyFont="1" applyBorder="1" applyAlignment="1">
      <alignment horizontal="right" wrapText="1"/>
    </xf>
    <xf numFmtId="0" fontId="7" fillId="0" borderId="3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31" fillId="0" borderId="32" xfId="0" applyFont="1" applyBorder="1" applyAlignment="1">
      <alignment horizontal="center" vertical="center"/>
    </xf>
    <xf numFmtId="1" fontId="6" fillId="0" borderId="32" xfId="0" applyNumberFormat="1" applyFont="1" applyBorder="1" applyAlignment="1">
      <alignment horizontal="center" vertical="center"/>
    </xf>
    <xf numFmtId="1" fontId="32" fillId="0" borderId="32" xfId="0" applyNumberFormat="1" applyFont="1" applyBorder="1" applyAlignment="1">
      <alignment horizontal="center" vertical="center"/>
    </xf>
    <xf numFmtId="0" fontId="33" fillId="0" borderId="32" xfId="0" applyFont="1" applyBorder="1" applyAlignment="1">
      <alignment horizontal="center"/>
    </xf>
    <xf numFmtId="1" fontId="3" fillId="0" borderId="32" xfId="0" applyNumberFormat="1" applyFont="1" applyBorder="1" applyAlignment="1">
      <alignment horizontal="center" vertical="center"/>
    </xf>
    <xf numFmtId="2" fontId="15" fillId="0" borderId="32" xfId="0" applyNumberFormat="1" applyFont="1" applyBorder="1" applyAlignment="1">
      <alignment horizontal="center"/>
    </xf>
    <xf numFmtId="2" fontId="3" fillId="0" borderId="32" xfId="0" applyNumberFormat="1" applyFont="1" applyBorder="1" applyAlignment="1">
      <alignment horizontal="center" vertical="center"/>
    </xf>
    <xf numFmtId="0" fontId="25" fillId="0" borderId="32" xfId="0" applyFont="1" applyBorder="1" applyAlignment="1">
      <alignment horizontal="left"/>
    </xf>
    <xf numFmtId="2" fontId="38" fillId="0" borderId="32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right" wrapText="1"/>
    </xf>
    <xf numFmtId="1" fontId="15" fillId="0" borderId="32" xfId="0" applyNumberFormat="1" applyFont="1" applyBorder="1" applyAlignment="1">
      <alignment horizontal="center" wrapText="1"/>
    </xf>
    <xf numFmtId="2" fontId="15" fillId="0" borderId="26" xfId="0" applyNumberFormat="1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0" fillId="0" borderId="32" xfId="0" applyBorder="1"/>
    <xf numFmtId="0" fontId="15" fillId="0" borderId="32" xfId="0" applyFont="1" applyBorder="1" applyAlignment="1">
      <alignment horizontal="center" wrapText="1"/>
    </xf>
    <xf numFmtId="0" fontId="3" fillId="3" borderId="32" xfId="0" applyFont="1" applyFill="1" applyBorder="1" applyAlignment="1">
      <alignment horizontal="left"/>
    </xf>
    <xf numFmtId="0" fontId="15" fillId="0" borderId="32" xfId="0" applyFont="1" applyBorder="1" applyAlignment="1">
      <alignment horizontal="left" vertical="center"/>
    </xf>
    <xf numFmtId="0" fontId="9" fillId="0" borderId="32" xfId="0" applyFont="1" applyBorder="1" applyAlignment="1">
      <alignment wrapText="1"/>
    </xf>
    <xf numFmtId="0" fontId="34" fillId="0" borderId="32" xfId="2" applyFont="1" applyBorder="1" applyAlignment="1">
      <alignment horizontal="left" vertical="center" wrapText="1"/>
    </xf>
    <xf numFmtId="0" fontId="20" fillId="0" borderId="32" xfId="2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34" fillId="0" borderId="32" xfId="2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center"/>
    </xf>
    <xf numFmtId="0" fontId="4" fillId="0" borderId="32" xfId="2" applyFont="1" applyBorder="1" applyAlignment="1">
      <alignment horizontal="left" wrapText="1"/>
    </xf>
    <xf numFmtId="0" fontId="9" fillId="0" borderId="33" xfId="0" applyFont="1" applyBorder="1" applyAlignment="1">
      <alignment horizontal="left" vertical="center" wrapText="1"/>
    </xf>
    <xf numFmtId="0" fontId="9" fillId="0" borderId="59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25" fillId="3" borderId="33" xfId="0" applyFont="1" applyFill="1" applyBorder="1" applyAlignment="1">
      <alignment horizontal="left" vertical="center" wrapText="1"/>
    </xf>
    <xf numFmtId="0" fontId="25" fillId="3" borderId="59" xfId="0" applyFont="1" applyFill="1" applyBorder="1" applyAlignment="1">
      <alignment horizontal="left" vertical="center" wrapText="1"/>
    </xf>
    <xf numFmtId="0" fontId="25" fillId="3" borderId="35" xfId="0" applyFont="1" applyFill="1" applyBorder="1" applyAlignment="1">
      <alignment horizontal="left" vertical="center" wrapText="1"/>
    </xf>
    <xf numFmtId="0" fontId="9" fillId="0" borderId="32" xfId="0" applyFont="1" applyBorder="1"/>
    <xf numFmtId="0" fontId="4" fillId="0" borderId="32" xfId="2" applyFont="1" applyBorder="1" applyAlignment="1">
      <alignment horizontal="left" vertical="center"/>
    </xf>
    <xf numFmtId="0" fontId="4" fillId="0" borderId="32" xfId="2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48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36" xfId="0" applyFont="1" applyFill="1" applyBorder="1" applyAlignment="1">
      <alignment horizontal="center" vertical="center"/>
    </xf>
    <xf numFmtId="0" fontId="9" fillId="4" borderId="42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9" fillId="4" borderId="4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/>
    </xf>
    <xf numFmtId="0" fontId="4" fillId="0" borderId="32" xfId="0" applyFont="1" applyBorder="1" applyAlignment="1">
      <alignment horizontal="center" vertical="top"/>
    </xf>
    <xf numFmtId="0" fontId="4" fillId="0" borderId="32" xfId="0" applyFont="1" applyBorder="1" applyAlignment="1">
      <alignment horizontal="center" vertical="top" wrapText="1"/>
    </xf>
    <xf numFmtId="0" fontId="20" fillId="0" borderId="32" xfId="0" applyFont="1" applyBorder="1" applyAlignment="1">
      <alignment horizontal="center" vertical="center"/>
    </xf>
    <xf numFmtId="0" fontId="11" fillId="3" borderId="32" xfId="0" applyFont="1" applyFill="1" applyBorder="1" applyAlignment="1">
      <alignment horizontal="left"/>
    </xf>
    <xf numFmtId="0" fontId="25" fillId="4" borderId="32" xfId="0" applyFont="1" applyFill="1" applyBorder="1" applyAlignment="1">
      <alignment horizontal="center"/>
    </xf>
    <xf numFmtId="0" fontId="25" fillId="0" borderId="32" xfId="0" applyFont="1" applyBorder="1" applyAlignment="1">
      <alignment horizontal="right" wrapText="1"/>
    </xf>
    <xf numFmtId="0" fontId="25" fillId="3" borderId="32" xfId="0" applyFont="1" applyFill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wrapText="1"/>
    </xf>
    <xf numFmtId="0" fontId="25" fillId="3" borderId="32" xfId="0" applyFont="1" applyFill="1" applyBorder="1" applyAlignment="1">
      <alignment horizontal="left" wrapText="1"/>
    </xf>
    <xf numFmtId="0" fontId="15" fillId="0" borderId="33" xfId="0" applyFont="1" applyBorder="1" applyAlignment="1">
      <alignment horizontal="left" wrapText="1"/>
    </xf>
    <xf numFmtId="0" fontId="15" fillId="0" borderId="59" xfId="0" applyFont="1" applyBorder="1" applyAlignment="1">
      <alignment horizontal="left" wrapText="1"/>
    </xf>
    <xf numFmtId="0" fontId="15" fillId="0" borderId="35" xfId="0" applyFont="1" applyBorder="1" applyAlignment="1">
      <alignment horizontal="left" wrapText="1"/>
    </xf>
    <xf numFmtId="0" fontId="36" fillId="0" borderId="32" xfId="0" applyFont="1" applyBorder="1" applyAlignment="1">
      <alignment horizontal="center" vertical="center"/>
    </xf>
    <xf numFmtId="0" fontId="25" fillId="3" borderId="32" xfId="0" applyFont="1" applyFill="1" applyBorder="1" applyAlignment="1">
      <alignment horizontal="left"/>
    </xf>
    <xf numFmtId="0" fontId="15" fillId="0" borderId="33" xfId="0" applyFont="1" applyBorder="1" applyAlignment="1">
      <alignment horizontal="left" vertical="center" wrapText="1"/>
    </xf>
    <xf numFmtId="0" fontId="15" fillId="0" borderId="59" xfId="0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center" wrapText="1"/>
    </xf>
    <xf numFmtId="0" fontId="20" fillId="4" borderId="32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/>
    </xf>
    <xf numFmtId="0" fontId="15" fillId="4" borderId="32" xfId="0" applyFont="1" applyFill="1" applyBorder="1" applyAlignment="1">
      <alignment horizontal="center" wrapText="1"/>
    </xf>
    <xf numFmtId="0" fontId="20" fillId="4" borderId="32" xfId="0" applyFont="1" applyFill="1" applyBorder="1" applyAlignment="1">
      <alignment horizontal="center" vertical="center"/>
    </xf>
    <xf numFmtId="0" fontId="15" fillId="4" borderId="32" xfId="0" applyFont="1" applyFill="1" applyBorder="1" applyAlignment="1">
      <alignment horizontal="center" vertical="center" wrapText="1"/>
    </xf>
    <xf numFmtId="0" fontId="36" fillId="0" borderId="3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23" fillId="0" borderId="0" xfId="0" applyFont="1" applyFill="1"/>
    <xf numFmtId="0" fontId="0" fillId="0" borderId="0" xfId="0" applyFill="1"/>
    <xf numFmtId="0" fontId="16" fillId="0" borderId="0" xfId="0" applyFont="1" applyFill="1"/>
    <xf numFmtId="0" fontId="4" fillId="0" borderId="3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32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1" fontId="4" fillId="0" borderId="32" xfId="0" applyNumberFormat="1" applyFont="1" applyFill="1" applyBorder="1" applyAlignment="1">
      <alignment horizontal="center" vertical="center"/>
    </xf>
    <xf numFmtId="2" fontId="4" fillId="0" borderId="32" xfId="0" applyNumberFormat="1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1" fontId="0" fillId="0" borderId="0" xfId="0" applyNumberFormat="1" applyFill="1"/>
    <xf numFmtId="0" fontId="4" fillId="0" borderId="32" xfId="0" applyFont="1" applyFill="1" applyBorder="1" applyAlignment="1">
      <alignment horizontal="center" vertical="center"/>
    </xf>
    <xf numFmtId="164" fontId="4" fillId="0" borderId="32" xfId="0" applyNumberFormat="1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9" fillId="0" borderId="0" xfId="0" applyFont="1" applyFill="1"/>
    <xf numFmtId="0" fontId="9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7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0" fillId="0" borderId="55" xfId="0" applyFill="1" applyBorder="1"/>
    <xf numFmtId="0" fontId="30" fillId="0" borderId="0" xfId="0" applyFont="1" applyFill="1"/>
    <xf numFmtId="0" fontId="9" fillId="0" borderId="5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1" fontId="9" fillId="0" borderId="47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1" fontId="9" fillId="0" borderId="32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/>
    </xf>
    <xf numFmtId="1" fontId="9" fillId="0" borderId="38" xfId="0" applyNumberFormat="1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24" xfId="0" applyFont="1" applyFill="1" applyBorder="1" applyAlignment="1">
      <alignment horizontal="center" vertical="center"/>
    </xf>
    <xf numFmtId="1" fontId="26" fillId="0" borderId="24" xfId="0" applyNumberFormat="1" applyFont="1" applyFill="1" applyBorder="1" applyAlignment="1">
      <alignment horizontal="center" vertical="center"/>
    </xf>
    <xf numFmtId="0" fontId="26" fillId="0" borderId="48" xfId="0" applyFont="1" applyFill="1" applyBorder="1" applyAlignment="1">
      <alignment horizontal="center" vertical="center"/>
    </xf>
    <xf numFmtId="164" fontId="0" fillId="0" borderId="0" xfId="0" applyNumberFormat="1" applyFill="1"/>
    <xf numFmtId="164" fontId="9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9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1" fontId="9" fillId="0" borderId="26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2" fontId="9" fillId="0" borderId="32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1" fontId="9" fillId="0" borderId="33" xfId="0" applyNumberFormat="1" applyFont="1" applyFill="1" applyBorder="1" applyAlignment="1">
      <alignment horizontal="center" vertical="center"/>
    </xf>
    <xf numFmtId="2" fontId="9" fillId="0" borderId="38" xfId="0" applyNumberFormat="1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2" fontId="9" fillId="0" borderId="0" xfId="0" applyNumberFormat="1" applyFont="1" applyFill="1"/>
    <xf numFmtId="2" fontId="0" fillId="0" borderId="0" xfId="0" applyNumberFormat="1" applyFill="1"/>
    <xf numFmtId="0" fontId="7" fillId="0" borderId="32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 wrapText="1"/>
    </xf>
    <xf numFmtId="164" fontId="10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1" fontId="9" fillId="0" borderId="0" xfId="0" applyNumberFormat="1" applyFont="1" applyFill="1" applyAlignment="1">
      <alignment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64" fontId="9" fillId="0" borderId="47" xfId="0" applyNumberFormat="1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3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47" xfId="0" applyFont="1" applyFill="1" applyBorder="1" applyAlignment="1">
      <alignment horizontal="left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left" vertical="center"/>
    </xf>
    <xf numFmtId="0" fontId="4" fillId="0" borderId="38" xfId="0" applyFont="1" applyFill="1" applyBorder="1" applyAlignment="1">
      <alignment horizontal="left" vertical="center"/>
    </xf>
    <xf numFmtId="0" fontId="4" fillId="0" borderId="38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left" vertical="center"/>
    </xf>
    <xf numFmtId="0" fontId="4" fillId="0" borderId="53" xfId="0" applyFont="1" applyFill="1" applyBorder="1" applyAlignment="1">
      <alignment horizontal="left" vertical="center"/>
    </xf>
    <xf numFmtId="0" fontId="4" fillId="0" borderId="5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4" fillId="0" borderId="56" xfId="0" applyFont="1" applyFill="1" applyBorder="1" applyAlignment="1">
      <alignment horizontal="center" vertical="center"/>
    </xf>
    <xf numFmtId="0" fontId="14" fillId="0" borderId="57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14" fillId="0" borderId="58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0" fontId="14" fillId="0" borderId="60" xfId="0" applyFont="1" applyFill="1" applyBorder="1" applyAlignment="1">
      <alignment horizontal="center" vertical="center"/>
    </xf>
    <xf numFmtId="0" fontId="14" fillId="0" borderId="6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47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32" xfId="0" applyFont="1" applyBorder="1" applyAlignment="1">
      <alignment horizontal="right" wrapText="1"/>
    </xf>
  </cellXfs>
  <cellStyles count="3">
    <cellStyle name="Input" xfId="1" builtinId="20"/>
    <cellStyle name="Normal" xfId="0" builtinId="0"/>
    <cellStyle name="Normal 2 2" xfId="2" xr:uid="{284D9C82-5FCC-4A60-BF7A-66BC5BEB65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hkel/Desktop/T&#246;&#246;d/20%20Laanealuse%20211400/1%20Ekspertiisi/I%20SELETUSKIRI%20JA%20MAHUD/Laanealuse%20mah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a"/>
      <sheetName val="T2b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a"/>
      <sheetName val="T13b"/>
    </sheetNames>
    <sheetDataSet>
      <sheetData sheetId="0"/>
      <sheetData sheetId="1"/>
      <sheetData sheetId="2">
        <row r="62">
          <cell r="B62" t="str">
            <v>IV. Muud tööd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77ED5-9FA4-4340-BBC5-B99B43D81166}">
  <dimension ref="A1:U94"/>
  <sheetViews>
    <sheetView zoomScale="70" zoomScaleNormal="70" workbookViewId="0">
      <selection activeCell="B54" sqref="B54:F54"/>
    </sheetView>
  </sheetViews>
  <sheetFormatPr defaultRowHeight="15" x14ac:dyDescent="0.25"/>
  <cols>
    <col min="1" max="1" width="4.85546875" customWidth="1"/>
    <col min="6" max="6" width="54.42578125" customWidth="1"/>
    <col min="7" max="7" width="8.140625" customWidth="1"/>
  </cols>
  <sheetData>
    <row r="1" spans="1:21" ht="15.75" x14ac:dyDescent="0.25">
      <c r="A1" s="71" t="s">
        <v>542</v>
      </c>
    </row>
    <row r="2" spans="1:21" x14ac:dyDescent="0.25">
      <c r="L2" s="27"/>
    </row>
    <row r="3" spans="1:21" x14ac:dyDescent="0.25">
      <c r="A3" s="133" t="s">
        <v>0</v>
      </c>
      <c r="B3" s="130" t="s">
        <v>222</v>
      </c>
      <c r="C3" s="130"/>
      <c r="D3" s="130"/>
      <c r="E3" s="130"/>
      <c r="F3" s="130"/>
      <c r="G3" s="130" t="s">
        <v>223</v>
      </c>
      <c r="H3" s="130" t="s">
        <v>224</v>
      </c>
      <c r="I3" s="130"/>
      <c r="J3" s="130"/>
      <c r="K3" s="130"/>
      <c r="L3" s="131" t="s">
        <v>62</v>
      </c>
    </row>
    <row r="4" spans="1:21" x14ac:dyDescent="0.25">
      <c r="A4" s="133"/>
      <c r="B4" s="130"/>
      <c r="C4" s="130"/>
      <c r="D4" s="130"/>
      <c r="E4" s="130"/>
      <c r="F4" s="130"/>
      <c r="G4" s="130"/>
      <c r="H4" s="130" t="s">
        <v>225</v>
      </c>
      <c r="I4" s="130"/>
      <c r="J4" s="130"/>
      <c r="K4" s="130"/>
      <c r="L4" s="131"/>
    </row>
    <row r="5" spans="1:21" x14ac:dyDescent="0.25">
      <c r="A5" s="133"/>
      <c r="B5" s="130"/>
      <c r="C5" s="130"/>
      <c r="D5" s="130"/>
      <c r="E5" s="130"/>
      <c r="F5" s="130"/>
      <c r="G5" s="130"/>
      <c r="H5" s="2" t="s">
        <v>60</v>
      </c>
      <c r="I5" s="2" t="s">
        <v>61</v>
      </c>
      <c r="J5" s="2" t="s">
        <v>270</v>
      </c>
      <c r="K5" s="2" t="s">
        <v>134</v>
      </c>
      <c r="L5" s="131"/>
    </row>
    <row r="6" spans="1:21" x14ac:dyDescent="0.25">
      <c r="A6" s="108" t="s">
        <v>34</v>
      </c>
      <c r="B6" s="135" t="s">
        <v>35</v>
      </c>
      <c r="C6" s="135"/>
      <c r="D6" s="135"/>
      <c r="E6" s="135"/>
      <c r="F6" s="135"/>
      <c r="G6" s="108" t="s">
        <v>36</v>
      </c>
      <c r="H6" s="108" t="s">
        <v>37</v>
      </c>
      <c r="I6" s="108" t="s">
        <v>38</v>
      </c>
      <c r="J6" s="108" t="s">
        <v>39</v>
      </c>
      <c r="K6" s="108" t="s">
        <v>40</v>
      </c>
      <c r="L6" s="109" t="s">
        <v>41</v>
      </c>
    </row>
    <row r="7" spans="1:21" x14ac:dyDescent="0.25">
      <c r="A7" s="110">
        <v>0</v>
      </c>
      <c r="B7" s="126" t="s">
        <v>541</v>
      </c>
      <c r="C7" s="126"/>
      <c r="D7" s="126"/>
      <c r="E7" s="126"/>
      <c r="F7" s="126"/>
      <c r="G7" s="57" t="s">
        <v>29</v>
      </c>
      <c r="H7" s="111">
        <f>'T9'!E12</f>
        <v>1135</v>
      </c>
      <c r="I7" s="111">
        <f>'T9'!E40</f>
        <v>5101</v>
      </c>
      <c r="J7" s="111">
        <f>'T9'!E52</f>
        <v>1200</v>
      </c>
      <c r="K7" s="111">
        <f>'T9'!E56</f>
        <v>504</v>
      </c>
      <c r="L7" s="112">
        <f>SUM(H7:K7)</f>
        <v>7940</v>
      </c>
      <c r="N7" s="27"/>
      <c r="O7" s="27"/>
      <c r="P7" s="27"/>
      <c r="Q7" s="27"/>
      <c r="R7" s="27"/>
      <c r="S7" s="27"/>
      <c r="T7" s="27"/>
      <c r="U7" s="27"/>
    </row>
    <row r="8" spans="1:21" x14ac:dyDescent="0.25">
      <c r="A8" s="113">
        <v>1</v>
      </c>
      <c r="B8" s="125" t="s">
        <v>491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N8" s="27"/>
    </row>
    <row r="9" spans="1:21" x14ac:dyDescent="0.25">
      <c r="A9" s="113">
        <f>A8+1</f>
        <v>2</v>
      </c>
      <c r="B9" s="136" t="s">
        <v>583</v>
      </c>
      <c r="C9" s="136"/>
      <c r="D9" s="136"/>
      <c r="E9" s="136"/>
      <c r="F9" s="136"/>
      <c r="G9" s="2" t="s">
        <v>327</v>
      </c>
      <c r="H9" s="115">
        <f>SUM('T6'!S9:S18)</f>
        <v>0.49919999999999998</v>
      </c>
      <c r="I9" s="115">
        <f>SUM('T6'!S19:S41)</f>
        <v>0.54669999999999996</v>
      </c>
      <c r="J9" s="90"/>
      <c r="K9" s="90"/>
      <c r="L9" s="116">
        <f>SUM(H9:K9)</f>
        <v>1.0459000000000001</v>
      </c>
      <c r="N9" s="27"/>
    </row>
    <row r="10" spans="1:21" x14ac:dyDescent="0.25">
      <c r="A10" s="113">
        <f t="shared" ref="A10:A48" si="0">A9+1</f>
        <v>3</v>
      </c>
      <c r="B10" s="136" t="s">
        <v>584</v>
      </c>
      <c r="C10" s="136"/>
      <c r="D10" s="136"/>
      <c r="E10" s="136"/>
      <c r="F10" s="136"/>
      <c r="G10" s="2" t="s">
        <v>327</v>
      </c>
      <c r="H10" s="115">
        <f>H9</f>
        <v>0.49919999999999998</v>
      </c>
      <c r="I10" s="115">
        <f t="shared" ref="I10" si="1">I9</f>
        <v>0.54669999999999996</v>
      </c>
      <c r="J10" s="90"/>
      <c r="K10" s="90"/>
      <c r="L10" s="116">
        <f t="shared" ref="L10:L18" si="2">SUM(H10:K10)</f>
        <v>1.0459000000000001</v>
      </c>
      <c r="N10" s="27"/>
    </row>
    <row r="11" spans="1:21" x14ac:dyDescent="0.25">
      <c r="A11" s="113">
        <f t="shared" si="0"/>
        <v>4</v>
      </c>
      <c r="B11" s="136" t="s">
        <v>585</v>
      </c>
      <c r="C11" s="136"/>
      <c r="D11" s="136"/>
      <c r="E11" s="136"/>
      <c r="F11" s="136"/>
      <c r="G11" s="2" t="s">
        <v>327</v>
      </c>
      <c r="H11" s="115">
        <f>SUM('T6'!T9:T18)</f>
        <v>0.61950000000000005</v>
      </c>
      <c r="I11" s="115">
        <f>SUM('T6'!T19:T42)</f>
        <v>1.8702000000000001</v>
      </c>
      <c r="J11" s="90"/>
      <c r="K11" s="90"/>
      <c r="L11" s="116">
        <f t="shared" si="2"/>
        <v>2.4897</v>
      </c>
      <c r="N11" s="27"/>
    </row>
    <row r="12" spans="1:21" x14ac:dyDescent="0.25">
      <c r="A12" s="113">
        <f t="shared" si="0"/>
        <v>5</v>
      </c>
      <c r="B12" s="136" t="s">
        <v>586</v>
      </c>
      <c r="C12" s="136"/>
      <c r="D12" s="136"/>
      <c r="E12" s="136"/>
      <c r="F12" s="136"/>
      <c r="G12" s="2" t="s">
        <v>327</v>
      </c>
      <c r="H12" s="115">
        <f>H11</f>
        <v>0.61950000000000005</v>
      </c>
      <c r="I12" s="115">
        <f t="shared" ref="I12" si="3">I11</f>
        <v>1.8702000000000001</v>
      </c>
      <c r="J12" s="90"/>
      <c r="K12" s="90"/>
      <c r="L12" s="116">
        <f t="shared" si="2"/>
        <v>2.4897</v>
      </c>
      <c r="N12" s="27"/>
    </row>
    <row r="13" spans="1:21" x14ac:dyDescent="0.25">
      <c r="A13" s="113">
        <f t="shared" si="0"/>
        <v>6</v>
      </c>
      <c r="B13" s="136" t="s">
        <v>587</v>
      </c>
      <c r="C13" s="136"/>
      <c r="D13" s="136"/>
      <c r="E13" s="136"/>
      <c r="F13" s="136"/>
      <c r="G13" s="2" t="s">
        <v>327</v>
      </c>
      <c r="H13" s="115">
        <f>SUM('T6'!U9:U18)</f>
        <v>0.61270000000000002</v>
      </c>
      <c r="I13" s="115">
        <f>SUM('T6'!U19:U42)</f>
        <v>1.7092000000000001</v>
      </c>
      <c r="J13" s="115">
        <f>'T6'!U43</f>
        <v>0.24</v>
      </c>
      <c r="K13" s="115">
        <f>'T6'!U44</f>
        <v>0.1008</v>
      </c>
      <c r="L13" s="116">
        <f t="shared" si="2"/>
        <v>2.6627000000000005</v>
      </c>
      <c r="N13" s="27"/>
    </row>
    <row r="14" spans="1:21" x14ac:dyDescent="0.25">
      <c r="A14" s="113">
        <f t="shared" si="0"/>
        <v>7</v>
      </c>
      <c r="B14" s="136" t="s">
        <v>588</v>
      </c>
      <c r="C14" s="136"/>
      <c r="D14" s="136"/>
      <c r="E14" s="136"/>
      <c r="F14" s="136"/>
      <c r="G14" s="2" t="s">
        <v>327</v>
      </c>
      <c r="H14" s="115">
        <f>H13</f>
        <v>0.61270000000000002</v>
      </c>
      <c r="I14" s="115">
        <f t="shared" ref="I14:K14" si="4">I13</f>
        <v>1.7092000000000001</v>
      </c>
      <c r="J14" s="90">
        <f t="shared" si="4"/>
        <v>0.24</v>
      </c>
      <c r="K14" s="115">
        <f t="shared" si="4"/>
        <v>0.1008</v>
      </c>
      <c r="L14" s="116">
        <f t="shared" si="2"/>
        <v>2.6627000000000005</v>
      </c>
      <c r="N14" s="27"/>
    </row>
    <row r="15" spans="1:21" x14ac:dyDescent="0.25">
      <c r="A15" s="113">
        <f t="shared" si="0"/>
        <v>8</v>
      </c>
      <c r="B15" s="136" t="s">
        <v>591</v>
      </c>
      <c r="C15" s="136"/>
      <c r="D15" s="136"/>
      <c r="E15" s="136"/>
      <c r="F15" s="136"/>
      <c r="G15" s="2" t="s">
        <v>327</v>
      </c>
      <c r="H15" s="115"/>
      <c r="I15" s="115">
        <f>SUM('T6'!V19:V42)</f>
        <v>0.2422</v>
      </c>
      <c r="J15" s="90"/>
      <c r="K15" s="115">
        <f>'T6'!V44</f>
        <v>0.1008</v>
      </c>
      <c r="L15" s="116">
        <f t="shared" si="2"/>
        <v>0.34299999999999997</v>
      </c>
      <c r="N15" s="27"/>
    </row>
    <row r="16" spans="1:21" x14ac:dyDescent="0.25">
      <c r="A16" s="113">
        <f t="shared" si="0"/>
        <v>9</v>
      </c>
      <c r="B16" s="136" t="s">
        <v>592</v>
      </c>
      <c r="C16" s="136"/>
      <c r="D16" s="136"/>
      <c r="E16" s="136"/>
      <c r="F16" s="136"/>
      <c r="G16" s="2" t="s">
        <v>327</v>
      </c>
      <c r="H16" s="115"/>
      <c r="I16" s="115">
        <f t="shared" ref="I16" si="5">I15</f>
        <v>0.2422</v>
      </c>
      <c r="J16" s="90"/>
      <c r="K16" s="115">
        <f t="shared" ref="K16" si="6">K15</f>
        <v>0.1008</v>
      </c>
      <c r="L16" s="116">
        <f t="shared" si="2"/>
        <v>0.34299999999999997</v>
      </c>
      <c r="N16" s="27"/>
    </row>
    <row r="17" spans="1:14" x14ac:dyDescent="0.25">
      <c r="A17" s="113">
        <f t="shared" si="0"/>
        <v>10</v>
      </c>
      <c r="B17" s="136" t="s">
        <v>589</v>
      </c>
      <c r="C17" s="136"/>
      <c r="D17" s="136"/>
      <c r="E17" s="136"/>
      <c r="F17" s="136"/>
      <c r="G17" s="2" t="s">
        <v>327</v>
      </c>
      <c r="H17" s="115">
        <f>H10+H12+H14+H16</f>
        <v>1.7314000000000001</v>
      </c>
      <c r="I17" s="115">
        <f t="shared" ref="I17:K17" si="7">I10+I12+I14+I16</f>
        <v>4.3683000000000005</v>
      </c>
      <c r="J17" s="90">
        <f t="shared" si="7"/>
        <v>0.24</v>
      </c>
      <c r="K17" s="115">
        <f t="shared" si="7"/>
        <v>0.2016</v>
      </c>
      <c r="L17" s="114">
        <f t="shared" si="2"/>
        <v>6.5413000000000006</v>
      </c>
      <c r="N17" s="27"/>
    </row>
    <row r="18" spans="1:14" x14ac:dyDescent="0.25">
      <c r="A18" s="113">
        <f t="shared" si="0"/>
        <v>11</v>
      </c>
      <c r="B18" s="136" t="s">
        <v>590</v>
      </c>
      <c r="C18" s="136"/>
      <c r="D18" s="136"/>
      <c r="E18" s="136"/>
      <c r="F18" s="136"/>
      <c r="G18" s="2" t="s">
        <v>327</v>
      </c>
      <c r="H18" s="115">
        <f>H17</f>
        <v>1.7314000000000001</v>
      </c>
      <c r="I18" s="115">
        <f t="shared" ref="I18:K18" si="8">I17</f>
        <v>4.3683000000000005</v>
      </c>
      <c r="J18" s="90">
        <f t="shared" si="8"/>
        <v>0.24</v>
      </c>
      <c r="K18" s="115">
        <f t="shared" si="8"/>
        <v>0.2016</v>
      </c>
      <c r="L18" s="114">
        <f t="shared" si="2"/>
        <v>6.5413000000000006</v>
      </c>
      <c r="N18" s="27"/>
    </row>
    <row r="19" spans="1:14" ht="14.25" customHeight="1" x14ac:dyDescent="0.25">
      <c r="A19" s="113">
        <f t="shared" si="0"/>
        <v>12</v>
      </c>
      <c r="B19" s="134" t="s">
        <v>492</v>
      </c>
      <c r="C19" s="134"/>
      <c r="D19" s="134"/>
      <c r="E19" s="134"/>
      <c r="F19" s="134"/>
      <c r="G19" s="33" t="s">
        <v>29</v>
      </c>
      <c r="H19" s="81">
        <f>H7</f>
        <v>1135</v>
      </c>
      <c r="I19" s="81">
        <f t="shared" ref="I19:K19" si="9">I7</f>
        <v>5101</v>
      </c>
      <c r="J19" s="81">
        <f t="shared" si="9"/>
        <v>1200</v>
      </c>
      <c r="K19" s="81">
        <f t="shared" si="9"/>
        <v>504</v>
      </c>
      <c r="L19" s="114">
        <f>SUM(H19:K19)</f>
        <v>7940</v>
      </c>
    </row>
    <row r="20" spans="1:14" ht="14.25" customHeight="1" x14ac:dyDescent="0.25">
      <c r="A20" s="113">
        <f t="shared" si="0"/>
        <v>13</v>
      </c>
      <c r="B20" s="134" t="s">
        <v>493</v>
      </c>
      <c r="C20" s="134"/>
      <c r="D20" s="134"/>
      <c r="E20" s="134"/>
      <c r="F20" s="134"/>
      <c r="G20" s="33" t="s">
        <v>32</v>
      </c>
      <c r="H20" s="2">
        <f>SUM('T5'!C6:C11)</f>
        <v>11</v>
      </c>
      <c r="I20" s="2">
        <f>SUM('T5'!D6:D11)</f>
        <v>45</v>
      </c>
      <c r="J20" s="2">
        <f>SUM('T5'!E6:E11)</f>
        <v>11</v>
      </c>
      <c r="K20" s="2">
        <f>SUM('T5'!F6:F11)</f>
        <v>2</v>
      </c>
      <c r="L20" s="24">
        <f>SUM(H20:K20)</f>
        <v>69</v>
      </c>
    </row>
    <row r="21" spans="1:14" ht="14.25" customHeight="1" x14ac:dyDescent="0.25">
      <c r="A21" s="113">
        <f t="shared" si="0"/>
        <v>14</v>
      </c>
      <c r="B21" s="140" t="s">
        <v>595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2"/>
    </row>
    <row r="22" spans="1:14" ht="14.25" customHeight="1" x14ac:dyDescent="0.25">
      <c r="A22" s="113">
        <f t="shared" si="0"/>
        <v>15</v>
      </c>
      <c r="B22" s="143" t="s">
        <v>593</v>
      </c>
      <c r="C22" s="143"/>
      <c r="D22" s="143"/>
      <c r="E22" s="143"/>
      <c r="F22" s="143"/>
      <c r="G22" s="2" t="s">
        <v>29</v>
      </c>
      <c r="H22" s="2">
        <f>SUM('T6'!F14:F17)</f>
        <v>1067</v>
      </c>
      <c r="I22" s="2">
        <f>SUM('T6'!F20:F32)</f>
        <v>2524</v>
      </c>
      <c r="J22" s="2"/>
      <c r="K22" s="2"/>
      <c r="L22" s="24">
        <f>SUM(H22:K22)</f>
        <v>3591</v>
      </c>
    </row>
    <row r="23" spans="1:14" ht="14.25" customHeight="1" x14ac:dyDescent="0.25">
      <c r="A23" s="113">
        <f t="shared" si="0"/>
        <v>16</v>
      </c>
      <c r="B23" s="143" t="s">
        <v>594</v>
      </c>
      <c r="C23" s="143"/>
      <c r="D23" s="143"/>
      <c r="E23" s="143"/>
      <c r="F23" s="143"/>
      <c r="G23" s="2" t="s">
        <v>229</v>
      </c>
      <c r="H23" s="81">
        <f>SUM('T6'!K9:K18)</f>
        <v>2852.16</v>
      </c>
      <c r="I23" s="81">
        <f>SUM('T6'!K19:K41)</f>
        <v>10180.219999999999</v>
      </c>
      <c r="J23" s="2"/>
      <c r="K23" s="2"/>
      <c r="L23" s="114">
        <f t="shared" ref="L23:L41" si="10">SUM(H23:K23)</f>
        <v>13032.38</v>
      </c>
    </row>
    <row r="24" spans="1:14" ht="14.25" customHeight="1" x14ac:dyDescent="0.25">
      <c r="A24" s="113">
        <f t="shared" si="0"/>
        <v>17</v>
      </c>
      <c r="B24" s="127" t="s">
        <v>596</v>
      </c>
      <c r="C24" s="127"/>
      <c r="D24" s="127"/>
      <c r="E24" s="127"/>
      <c r="F24" s="127"/>
      <c r="G24" s="2" t="s">
        <v>229</v>
      </c>
      <c r="H24" s="81">
        <f>H23*0.1</f>
        <v>285.21600000000001</v>
      </c>
      <c r="I24" s="81">
        <f>I23*0.1</f>
        <v>1018.0219999999999</v>
      </c>
      <c r="J24" s="2"/>
      <c r="K24" s="2"/>
      <c r="L24" s="114">
        <f t="shared" si="10"/>
        <v>1303.2379999999998</v>
      </c>
    </row>
    <row r="25" spans="1:14" ht="14.25" customHeight="1" x14ac:dyDescent="0.25">
      <c r="A25" s="113">
        <f t="shared" si="0"/>
        <v>18</v>
      </c>
      <c r="B25" s="127" t="s">
        <v>597</v>
      </c>
      <c r="C25" s="127"/>
      <c r="D25" s="127"/>
      <c r="E25" s="127"/>
      <c r="F25" s="127"/>
      <c r="G25" s="2" t="s">
        <v>229</v>
      </c>
      <c r="H25" s="81">
        <f>H24*0.1</f>
        <v>28.521600000000003</v>
      </c>
      <c r="I25" s="81">
        <f>I24*0.1</f>
        <v>101.8022</v>
      </c>
      <c r="J25" s="2"/>
      <c r="K25" s="2"/>
      <c r="L25" s="114">
        <f t="shared" si="10"/>
        <v>130.32380000000001</v>
      </c>
    </row>
    <row r="26" spans="1:14" ht="14.25" customHeight="1" x14ac:dyDescent="0.25">
      <c r="A26" s="113">
        <f t="shared" si="0"/>
        <v>19</v>
      </c>
      <c r="B26" s="127" t="s">
        <v>598</v>
      </c>
      <c r="C26" s="127"/>
      <c r="D26" s="127"/>
      <c r="E26" s="127"/>
      <c r="F26" s="127"/>
      <c r="G26" s="2" t="s">
        <v>229</v>
      </c>
      <c r="H26" s="81">
        <f>SUM('T6'!P9:P17)</f>
        <v>1009.399032</v>
      </c>
      <c r="I26" s="81">
        <f>SUM('T6'!P19:P41)</f>
        <v>4448.9740320000001</v>
      </c>
      <c r="J26" s="81"/>
      <c r="K26" s="81"/>
      <c r="L26" s="114">
        <f t="shared" si="10"/>
        <v>5458.3730640000003</v>
      </c>
    </row>
    <row r="27" spans="1:14" ht="14.25" customHeight="1" x14ac:dyDescent="0.25">
      <c r="A27" s="113">
        <f t="shared" si="0"/>
        <v>20</v>
      </c>
      <c r="B27" s="137" t="s">
        <v>599</v>
      </c>
      <c r="C27" s="138"/>
      <c r="D27" s="138"/>
      <c r="E27" s="138"/>
      <c r="F27" s="139"/>
      <c r="G27" s="2" t="s">
        <v>229</v>
      </c>
      <c r="H27" s="81">
        <f>SUM('T6'!R9:R17)</f>
        <v>1169.8282800000002</v>
      </c>
      <c r="I27" s="81">
        <f>SUM('T6'!R19:R41)</f>
        <v>2769.2764800000004</v>
      </c>
      <c r="J27" s="81"/>
      <c r="K27" s="81"/>
      <c r="L27" s="114">
        <f t="shared" si="10"/>
        <v>3939.1047600000006</v>
      </c>
    </row>
    <row r="28" spans="1:14" ht="14.25" customHeight="1" x14ac:dyDescent="0.25">
      <c r="A28" s="113">
        <f t="shared" si="0"/>
        <v>21</v>
      </c>
      <c r="B28" s="140" t="s">
        <v>635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2"/>
    </row>
    <row r="29" spans="1:14" ht="14.25" customHeight="1" x14ac:dyDescent="0.25">
      <c r="A29" s="113">
        <f t="shared" si="0"/>
        <v>22</v>
      </c>
      <c r="B29" s="137" t="s">
        <v>622</v>
      </c>
      <c r="C29" s="138"/>
      <c r="D29" s="138"/>
      <c r="E29" s="138"/>
      <c r="F29" s="139"/>
      <c r="G29" s="33" t="s">
        <v>32</v>
      </c>
      <c r="H29" s="81">
        <f>SUM('T8'!D11:D12)</f>
        <v>11</v>
      </c>
      <c r="I29" s="81">
        <f>SUM('T8'!E11:E12)</f>
        <v>25</v>
      </c>
      <c r="J29" s="81"/>
      <c r="K29" s="81">
        <f>SUM('T8'!F11:F12)</f>
        <v>1</v>
      </c>
      <c r="L29" s="114">
        <f t="shared" si="10"/>
        <v>37</v>
      </c>
    </row>
    <row r="30" spans="1:14" ht="14.25" customHeight="1" x14ac:dyDescent="0.25">
      <c r="A30" s="113">
        <f t="shared" si="0"/>
        <v>23</v>
      </c>
      <c r="B30" s="144" t="s">
        <v>623</v>
      </c>
      <c r="C30" s="144"/>
      <c r="D30" s="144"/>
      <c r="E30" s="144"/>
      <c r="F30" s="144"/>
      <c r="G30" s="33" t="s">
        <v>29</v>
      </c>
      <c r="H30" s="81">
        <f>'T8'!D15</f>
        <v>89</v>
      </c>
      <c r="I30" s="81">
        <f>'T8'!E15</f>
        <v>130</v>
      </c>
      <c r="J30" s="123"/>
      <c r="K30" s="81">
        <f>'T8'!F15</f>
        <v>11</v>
      </c>
      <c r="L30" s="114">
        <f>SUM(H30:K30)</f>
        <v>230</v>
      </c>
    </row>
    <row r="31" spans="1:14" ht="14.25" customHeight="1" x14ac:dyDescent="0.25">
      <c r="A31" s="113">
        <f t="shared" si="0"/>
        <v>24</v>
      </c>
      <c r="B31" s="144" t="s">
        <v>624</v>
      </c>
      <c r="C31" s="144"/>
      <c r="D31" s="144"/>
      <c r="E31" s="144"/>
      <c r="F31" s="144"/>
      <c r="G31" s="33" t="s">
        <v>29</v>
      </c>
      <c r="H31" s="81">
        <f>'T8'!D16</f>
        <v>31</v>
      </c>
      <c r="I31" s="81">
        <f>'T8'!E16</f>
        <v>63</v>
      </c>
      <c r="J31" s="123"/>
      <c r="K31" s="81"/>
      <c r="L31" s="114">
        <f>SUM(H31:K31)</f>
        <v>94</v>
      </c>
    </row>
    <row r="32" spans="1:14" ht="14.25" customHeight="1" x14ac:dyDescent="0.25">
      <c r="A32" s="113">
        <f t="shared" si="0"/>
        <v>25</v>
      </c>
      <c r="B32" s="144" t="s">
        <v>625</v>
      </c>
      <c r="C32" s="144"/>
      <c r="D32" s="144"/>
      <c r="E32" s="144"/>
      <c r="F32" s="144"/>
      <c r="G32" s="33" t="s">
        <v>29</v>
      </c>
      <c r="H32" s="81">
        <f>'T8'!D17</f>
        <v>10</v>
      </c>
      <c r="I32" s="81">
        <f>'T8'!E17</f>
        <v>58</v>
      </c>
      <c r="J32" s="123"/>
      <c r="K32" s="81"/>
      <c r="L32" s="114">
        <f>SUM(H32:K32)</f>
        <v>68</v>
      </c>
    </row>
    <row r="33" spans="1:12" ht="14.25" customHeight="1" x14ac:dyDescent="0.25">
      <c r="A33" s="113">
        <f t="shared" si="0"/>
        <v>26</v>
      </c>
      <c r="B33" s="144" t="s">
        <v>633</v>
      </c>
      <c r="C33" s="144"/>
      <c r="D33" s="144"/>
      <c r="E33" s="144"/>
      <c r="F33" s="144"/>
      <c r="G33" s="33" t="s">
        <v>29</v>
      </c>
      <c r="H33" s="81"/>
      <c r="I33" s="81">
        <f>'T8'!E18</f>
        <v>14</v>
      </c>
      <c r="J33" s="123"/>
      <c r="K33" s="81"/>
      <c r="L33" s="114">
        <f>SUM(H33:K33)</f>
        <v>14</v>
      </c>
    </row>
    <row r="34" spans="1:12" ht="14.25" customHeight="1" x14ac:dyDescent="0.25">
      <c r="A34" s="113">
        <f t="shared" si="0"/>
        <v>27</v>
      </c>
      <c r="B34" s="145" t="s">
        <v>626</v>
      </c>
      <c r="C34" s="145"/>
      <c r="D34" s="145"/>
      <c r="E34" s="145"/>
      <c r="F34" s="145"/>
      <c r="G34" s="33" t="s">
        <v>233</v>
      </c>
      <c r="H34" s="81">
        <f>'T8'!D20</f>
        <v>8</v>
      </c>
      <c r="I34" s="81">
        <f>'T8'!E20</f>
        <v>13</v>
      </c>
      <c r="J34" s="81"/>
      <c r="K34" s="81">
        <f>'T8'!F20</f>
        <v>1</v>
      </c>
      <c r="L34" s="114">
        <f t="shared" si="10"/>
        <v>22</v>
      </c>
    </row>
    <row r="35" spans="1:12" ht="14.25" customHeight="1" x14ac:dyDescent="0.25">
      <c r="A35" s="113">
        <f t="shared" si="0"/>
        <v>28</v>
      </c>
      <c r="B35" s="145" t="s">
        <v>627</v>
      </c>
      <c r="C35" s="145"/>
      <c r="D35" s="145"/>
      <c r="E35" s="145"/>
      <c r="F35" s="145"/>
      <c r="G35" s="33" t="s">
        <v>233</v>
      </c>
      <c r="H35" s="81">
        <f>'T8'!D21</f>
        <v>2</v>
      </c>
      <c r="I35" s="81">
        <f>'T8'!E21</f>
        <v>6</v>
      </c>
      <c r="J35" s="81"/>
      <c r="K35" s="81"/>
      <c r="L35" s="114">
        <f t="shared" si="10"/>
        <v>8</v>
      </c>
    </row>
    <row r="36" spans="1:12" ht="14.25" customHeight="1" x14ac:dyDescent="0.25">
      <c r="A36" s="113">
        <f t="shared" si="0"/>
        <v>29</v>
      </c>
      <c r="B36" s="145" t="s">
        <v>628</v>
      </c>
      <c r="C36" s="145"/>
      <c r="D36" s="145"/>
      <c r="E36" s="145"/>
      <c r="F36" s="145"/>
      <c r="G36" s="33" t="s">
        <v>233</v>
      </c>
      <c r="H36" s="81">
        <f>'T8'!D22</f>
        <v>1</v>
      </c>
      <c r="I36" s="81">
        <f>'T8'!E22</f>
        <v>5</v>
      </c>
      <c r="J36" s="81"/>
      <c r="K36" s="81"/>
      <c r="L36" s="114">
        <f t="shared" si="10"/>
        <v>6</v>
      </c>
    </row>
    <row r="37" spans="1:12" ht="14.25" customHeight="1" x14ac:dyDescent="0.25">
      <c r="A37" s="113">
        <f t="shared" si="0"/>
        <v>30</v>
      </c>
      <c r="B37" s="145" t="s">
        <v>634</v>
      </c>
      <c r="C37" s="145"/>
      <c r="D37" s="145"/>
      <c r="E37" s="145"/>
      <c r="F37" s="145"/>
      <c r="G37" s="33" t="s">
        <v>233</v>
      </c>
      <c r="H37" s="81"/>
      <c r="I37" s="81">
        <f>'T8'!E23</f>
        <v>1</v>
      </c>
      <c r="J37" s="81"/>
      <c r="K37" s="81"/>
      <c r="L37" s="114">
        <f t="shared" si="10"/>
        <v>1</v>
      </c>
    </row>
    <row r="38" spans="1:12" ht="14.25" customHeight="1" x14ac:dyDescent="0.25">
      <c r="A38" s="113">
        <f t="shared" si="0"/>
        <v>31</v>
      </c>
      <c r="B38" s="145" t="s">
        <v>629</v>
      </c>
      <c r="C38" s="145"/>
      <c r="D38" s="145"/>
      <c r="E38" s="145"/>
      <c r="F38" s="145"/>
      <c r="G38" s="33" t="s">
        <v>229</v>
      </c>
      <c r="H38" s="81">
        <f>SUM('T8'!D25)</f>
        <v>133.5</v>
      </c>
      <c r="I38" s="81">
        <f>SUM('T8'!E25)</f>
        <v>232.5</v>
      </c>
      <c r="J38" s="81"/>
      <c r="K38" s="81"/>
      <c r="L38" s="114">
        <f t="shared" si="10"/>
        <v>366</v>
      </c>
    </row>
    <row r="39" spans="1:12" ht="14.25" customHeight="1" x14ac:dyDescent="0.25">
      <c r="A39" s="113">
        <f t="shared" si="0"/>
        <v>32</v>
      </c>
      <c r="B39" s="145" t="s">
        <v>631</v>
      </c>
      <c r="C39" s="145"/>
      <c r="D39" s="145"/>
      <c r="E39" s="145"/>
      <c r="F39" s="145"/>
      <c r="G39" s="33" t="s">
        <v>32</v>
      </c>
      <c r="H39" s="81">
        <f>SUM('T8'!D26)</f>
        <v>6</v>
      </c>
      <c r="I39" s="81">
        <f>SUM('T8'!E26)</f>
        <v>8</v>
      </c>
      <c r="J39" s="81"/>
      <c r="K39" s="81">
        <f>SUM('T8'!F26)</f>
        <v>2</v>
      </c>
      <c r="L39" s="114">
        <f t="shared" si="10"/>
        <v>16</v>
      </c>
    </row>
    <row r="40" spans="1:12" ht="14.25" customHeight="1" x14ac:dyDescent="0.25">
      <c r="A40" s="113">
        <f t="shared" si="0"/>
        <v>33</v>
      </c>
      <c r="B40" s="145" t="s">
        <v>632</v>
      </c>
      <c r="C40" s="145"/>
      <c r="D40" s="145"/>
      <c r="E40" s="145"/>
      <c r="F40" s="145"/>
      <c r="G40" s="33" t="s">
        <v>229</v>
      </c>
      <c r="H40" s="81">
        <f>SUM('T8'!D27)</f>
        <v>4</v>
      </c>
      <c r="I40" s="81">
        <f>SUM('T8'!E27)</f>
        <v>8.1000000000000014</v>
      </c>
      <c r="J40" s="81"/>
      <c r="K40" s="81"/>
      <c r="L40" s="114">
        <f t="shared" si="10"/>
        <v>12.100000000000001</v>
      </c>
    </row>
    <row r="41" spans="1:12" ht="14.25" customHeight="1" x14ac:dyDescent="0.25">
      <c r="A41" s="113">
        <f t="shared" si="0"/>
        <v>34</v>
      </c>
      <c r="B41" s="145" t="s">
        <v>630</v>
      </c>
      <c r="C41" s="145"/>
      <c r="D41" s="145"/>
      <c r="E41" s="145"/>
      <c r="F41" s="145"/>
      <c r="G41" s="33" t="s">
        <v>229</v>
      </c>
      <c r="H41" s="81">
        <f>SUM('T8'!D28)</f>
        <v>61.5</v>
      </c>
      <c r="I41" s="81">
        <f>SUM('T8'!E28)</f>
        <v>192</v>
      </c>
      <c r="J41" s="81"/>
      <c r="K41" s="81">
        <f>SUM('T8'!F28)</f>
        <v>16.5</v>
      </c>
      <c r="L41" s="114">
        <f t="shared" si="10"/>
        <v>270</v>
      </c>
    </row>
    <row r="42" spans="1:12" ht="14.25" customHeight="1" x14ac:dyDescent="0.25">
      <c r="A42" s="113">
        <f t="shared" si="0"/>
        <v>35</v>
      </c>
      <c r="B42" s="145" t="s">
        <v>636</v>
      </c>
      <c r="C42" s="145"/>
      <c r="D42" s="145"/>
      <c r="E42" s="145"/>
      <c r="F42" s="145"/>
      <c r="G42" s="33" t="s">
        <v>29</v>
      </c>
      <c r="H42" s="81">
        <f>'T8'!D8</f>
        <v>32</v>
      </c>
      <c r="I42" s="81">
        <f>'T8'!E8</f>
        <v>90</v>
      </c>
      <c r="J42" s="81"/>
      <c r="K42" s="81">
        <f>'T8'!F8</f>
        <v>7</v>
      </c>
      <c r="L42" s="114">
        <f>SUM(H42:K42)</f>
        <v>129</v>
      </c>
    </row>
    <row r="43" spans="1:12" x14ac:dyDescent="0.25">
      <c r="A43" s="113">
        <f t="shared" si="0"/>
        <v>36</v>
      </c>
      <c r="B43" s="125" t="s">
        <v>618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</row>
    <row r="44" spans="1:12" x14ac:dyDescent="0.25">
      <c r="A44" s="113">
        <f t="shared" si="0"/>
        <v>37</v>
      </c>
      <c r="B44" s="129" t="s">
        <v>494</v>
      </c>
      <c r="C44" s="129"/>
      <c r="D44" s="129"/>
      <c r="E44" s="129"/>
      <c r="F44" s="129"/>
      <c r="G44" s="2" t="s">
        <v>467</v>
      </c>
      <c r="H44" s="81">
        <f>H19*4.5</f>
        <v>5107.5</v>
      </c>
      <c r="I44" s="81">
        <f>I19*4.5</f>
        <v>22954.5</v>
      </c>
      <c r="J44" s="2">
        <f>J19*4.5</f>
        <v>5400</v>
      </c>
      <c r="K44" s="2">
        <f>K19*4.5</f>
        <v>2268</v>
      </c>
      <c r="L44" s="24">
        <f>SUM(H44:K44)</f>
        <v>35730</v>
      </c>
    </row>
    <row r="45" spans="1:12" x14ac:dyDescent="0.25">
      <c r="A45" s="113">
        <f t="shared" si="0"/>
        <v>38</v>
      </c>
      <c r="B45" s="129" t="s">
        <v>498</v>
      </c>
      <c r="C45" s="129"/>
      <c r="D45" s="129"/>
      <c r="E45" s="129"/>
      <c r="F45" s="129"/>
      <c r="G45" s="2" t="s">
        <v>229</v>
      </c>
      <c r="H45" s="81">
        <f>'T9'!K12</f>
        <v>726.72</v>
      </c>
      <c r="I45" s="81">
        <f>'T9'!K40</f>
        <v>2769.46</v>
      </c>
      <c r="J45" s="81"/>
      <c r="K45" s="81"/>
      <c r="L45" s="114">
        <f>SUM(H45:K45)</f>
        <v>3496.1800000000003</v>
      </c>
    </row>
    <row r="46" spans="1:12" x14ac:dyDescent="0.25">
      <c r="A46" s="113">
        <f t="shared" si="0"/>
        <v>39</v>
      </c>
      <c r="B46" s="129" t="s">
        <v>602</v>
      </c>
      <c r="C46" s="129"/>
      <c r="D46" s="129"/>
      <c r="E46" s="129"/>
      <c r="F46" s="129"/>
      <c r="G46" s="2" t="s">
        <v>229</v>
      </c>
      <c r="H46" s="81"/>
      <c r="I46" s="81"/>
      <c r="J46" s="81">
        <f>'T9'!K52</f>
        <v>821.90000000000009</v>
      </c>
      <c r="K46" s="81">
        <f>'T9'!K56</f>
        <v>330.98</v>
      </c>
      <c r="L46" s="114">
        <f>SUM(H46:K46)</f>
        <v>1152.8800000000001</v>
      </c>
    </row>
    <row r="47" spans="1:12" x14ac:dyDescent="0.25">
      <c r="A47" s="113">
        <f t="shared" si="0"/>
        <v>40</v>
      </c>
      <c r="B47" s="125" t="s">
        <v>619</v>
      </c>
      <c r="C47" s="125"/>
      <c r="D47" s="125"/>
      <c r="E47" s="125"/>
      <c r="F47" s="125"/>
      <c r="G47" s="125"/>
      <c r="H47" s="125"/>
      <c r="I47" s="125"/>
      <c r="J47" s="125"/>
      <c r="K47" s="125"/>
      <c r="L47" s="125"/>
    </row>
    <row r="48" spans="1:12" ht="28.5" customHeight="1" x14ac:dyDescent="0.25">
      <c r="A48" s="113">
        <f t="shared" si="0"/>
        <v>41</v>
      </c>
      <c r="B48" s="129" t="s">
        <v>522</v>
      </c>
      <c r="C48" s="129"/>
      <c r="D48" s="129"/>
      <c r="E48" s="129"/>
      <c r="F48" s="129"/>
      <c r="G48" s="2" t="s">
        <v>467</v>
      </c>
      <c r="H48" s="81">
        <f>'T9'!L12</f>
        <v>5605</v>
      </c>
      <c r="I48" s="2">
        <f>'T9'!L40</f>
        <v>26086</v>
      </c>
      <c r="J48" s="2">
        <f>'T9'!L52</f>
        <v>6142</v>
      </c>
      <c r="K48" s="81">
        <f>'T9'!L56</f>
        <v>2470</v>
      </c>
      <c r="L48" s="114">
        <f>SUM(H48:K48)</f>
        <v>40303</v>
      </c>
    </row>
    <row r="49" spans="1:19" ht="24.75" customHeight="1" x14ac:dyDescent="0.25">
      <c r="A49" s="113">
        <f t="shared" ref="A49:A79" si="11">A48+1</f>
        <v>42</v>
      </c>
      <c r="B49" s="134" t="s">
        <v>499</v>
      </c>
      <c r="C49" s="134"/>
      <c r="D49" s="134"/>
      <c r="E49" s="134"/>
      <c r="F49" s="134"/>
      <c r="G49" s="2" t="s">
        <v>29</v>
      </c>
      <c r="H49" s="81">
        <f>'T9'!G12</f>
        <v>527.35</v>
      </c>
      <c r="I49" s="81">
        <f>'T9'!G40</f>
        <v>2440.8799999999992</v>
      </c>
      <c r="J49" s="81">
        <f>'T9'!G52</f>
        <v>577.18000000000006</v>
      </c>
      <c r="K49" s="81">
        <f>'T9'!G56</f>
        <v>232.17999999999998</v>
      </c>
      <c r="L49" s="114">
        <f>SUM(H49:K49)</f>
        <v>3777.5899999999988</v>
      </c>
      <c r="O49" s="50"/>
    </row>
    <row r="50" spans="1:19" ht="27" customHeight="1" x14ac:dyDescent="0.25">
      <c r="A50" s="113">
        <f t="shared" si="11"/>
        <v>43</v>
      </c>
      <c r="B50" s="134" t="s">
        <v>500</v>
      </c>
      <c r="C50" s="134"/>
      <c r="D50" s="134"/>
      <c r="E50" s="134"/>
      <c r="F50" s="134"/>
      <c r="G50" s="2" t="s">
        <v>29</v>
      </c>
      <c r="H50" s="81">
        <f>'T9'!I12</f>
        <v>1154.1500000000001</v>
      </c>
      <c r="I50" s="81">
        <f>'T9'!I40</f>
        <v>5334.4100000000008</v>
      </c>
      <c r="J50" s="81">
        <f>'T9'!I52</f>
        <v>1258.1999999999998</v>
      </c>
      <c r="K50" s="81">
        <f>'T9'!I56</f>
        <v>508.82</v>
      </c>
      <c r="L50" s="114">
        <f>SUM(H50:K50)</f>
        <v>8255.5800000000017</v>
      </c>
      <c r="O50" s="50"/>
    </row>
    <row r="51" spans="1:19" ht="15" customHeight="1" x14ac:dyDescent="0.25">
      <c r="A51" s="113">
        <f t="shared" si="11"/>
        <v>44</v>
      </c>
      <c r="B51" s="125" t="s">
        <v>620</v>
      </c>
      <c r="C51" s="125"/>
      <c r="D51" s="125"/>
      <c r="E51" s="125"/>
      <c r="F51" s="125"/>
      <c r="G51" s="125"/>
      <c r="H51" s="125"/>
      <c r="I51" s="125"/>
      <c r="J51" s="125"/>
      <c r="K51" s="125"/>
      <c r="L51" s="125"/>
    </row>
    <row r="52" spans="1:19" ht="15" customHeight="1" x14ac:dyDescent="0.25">
      <c r="A52" s="113">
        <f t="shared" si="11"/>
        <v>45</v>
      </c>
      <c r="B52" s="132" t="s">
        <v>523</v>
      </c>
      <c r="C52" s="132"/>
      <c r="D52" s="132"/>
      <c r="E52" s="132"/>
      <c r="F52" s="132"/>
      <c r="G52" s="89" t="s">
        <v>32</v>
      </c>
      <c r="H52" s="89"/>
      <c r="I52" s="89">
        <f>'T5'!D7</f>
        <v>1</v>
      </c>
      <c r="J52" s="89"/>
      <c r="K52" s="89"/>
      <c r="L52" s="114">
        <f>SUM(H52:K52)</f>
        <v>1</v>
      </c>
    </row>
    <row r="53" spans="1:19" x14ac:dyDescent="0.25">
      <c r="A53" s="113">
        <f t="shared" si="11"/>
        <v>46</v>
      </c>
      <c r="B53" s="129" t="s">
        <v>603</v>
      </c>
      <c r="C53" s="129"/>
      <c r="D53" s="129"/>
      <c r="E53" s="129"/>
      <c r="F53" s="129"/>
      <c r="G53" s="25" t="s">
        <v>501</v>
      </c>
      <c r="H53" s="25"/>
      <c r="I53" s="25">
        <v>42</v>
      </c>
      <c r="J53" s="25"/>
      <c r="K53" s="25"/>
      <c r="L53" s="114"/>
      <c r="P53" s="50"/>
      <c r="Q53" s="50"/>
    </row>
    <row r="54" spans="1:19" ht="24" customHeight="1" x14ac:dyDescent="0.25">
      <c r="A54" s="113">
        <f t="shared" si="11"/>
        <v>47</v>
      </c>
      <c r="B54" s="129" t="s">
        <v>502</v>
      </c>
      <c r="C54" s="129"/>
      <c r="D54" s="129"/>
      <c r="E54" s="129"/>
      <c r="F54" s="129"/>
      <c r="G54" s="25" t="s">
        <v>503</v>
      </c>
      <c r="H54" s="25"/>
      <c r="I54" s="25">
        <v>150</v>
      </c>
      <c r="J54" s="25"/>
      <c r="K54" s="25"/>
      <c r="L54" s="114">
        <f t="shared" ref="L54:L80" si="12">SUM(H54:K54)</f>
        <v>150</v>
      </c>
    </row>
    <row r="55" spans="1:19" ht="21.75" customHeight="1" x14ac:dyDescent="0.25">
      <c r="A55" s="113">
        <f t="shared" si="11"/>
        <v>48</v>
      </c>
      <c r="B55" s="129" t="s">
        <v>504</v>
      </c>
      <c r="C55" s="129"/>
      <c r="D55" s="129"/>
      <c r="E55" s="129"/>
      <c r="F55" s="129"/>
      <c r="G55" s="25" t="s">
        <v>501</v>
      </c>
      <c r="H55" s="25"/>
      <c r="I55" s="25">
        <v>31</v>
      </c>
      <c r="J55" s="25"/>
      <c r="K55" s="25"/>
      <c r="L55" s="114">
        <f t="shared" si="12"/>
        <v>31</v>
      </c>
      <c r="P55" s="50"/>
      <c r="Q55" s="50"/>
      <c r="R55" s="50"/>
      <c r="S55" s="50"/>
    </row>
    <row r="56" spans="1:19" ht="24" customHeight="1" x14ac:dyDescent="0.25">
      <c r="A56" s="113">
        <f t="shared" si="11"/>
        <v>49</v>
      </c>
      <c r="B56" s="129" t="s">
        <v>505</v>
      </c>
      <c r="C56" s="129"/>
      <c r="D56" s="129"/>
      <c r="E56" s="129"/>
      <c r="F56" s="129"/>
      <c r="G56" s="25" t="s">
        <v>501</v>
      </c>
      <c r="H56" s="25"/>
      <c r="I56" s="25">
        <v>14</v>
      </c>
      <c r="J56" s="25"/>
      <c r="K56" s="25"/>
      <c r="L56" s="114">
        <f t="shared" si="12"/>
        <v>14</v>
      </c>
      <c r="P56" s="50"/>
    </row>
    <row r="57" spans="1:19" ht="15" customHeight="1" x14ac:dyDescent="0.25">
      <c r="A57" s="113">
        <f t="shared" si="11"/>
        <v>50</v>
      </c>
      <c r="B57" s="132" t="s">
        <v>495</v>
      </c>
      <c r="C57" s="132"/>
      <c r="D57" s="132"/>
      <c r="E57" s="132"/>
      <c r="F57" s="132"/>
      <c r="G57" s="89" t="s">
        <v>32</v>
      </c>
      <c r="H57" s="89">
        <f>'T5'!C8</f>
        <v>6</v>
      </c>
      <c r="I57" s="89">
        <f>'T5'!D8</f>
        <v>20</v>
      </c>
      <c r="J57" s="89">
        <f>'T5'!E8</f>
        <v>4</v>
      </c>
      <c r="K57" s="89">
        <f>'T5'!F8</f>
        <v>1</v>
      </c>
      <c r="L57" s="114">
        <f t="shared" si="12"/>
        <v>31</v>
      </c>
    </row>
    <row r="58" spans="1:19" x14ac:dyDescent="0.25">
      <c r="A58" s="113">
        <f t="shared" si="11"/>
        <v>51</v>
      </c>
      <c r="B58" s="129" t="s">
        <v>506</v>
      </c>
      <c r="C58" s="129"/>
      <c r="D58" s="129"/>
      <c r="E58" s="129"/>
      <c r="F58" s="129"/>
      <c r="G58" s="25" t="s">
        <v>501</v>
      </c>
      <c r="H58" s="2">
        <f>H57*39</f>
        <v>234</v>
      </c>
      <c r="I58" s="2"/>
      <c r="J58" s="2"/>
      <c r="K58" s="2"/>
      <c r="L58" s="114">
        <f t="shared" si="12"/>
        <v>234</v>
      </c>
    </row>
    <row r="59" spans="1:19" x14ac:dyDescent="0.25">
      <c r="A59" s="113">
        <f t="shared" si="11"/>
        <v>52</v>
      </c>
      <c r="B59" s="129" t="s">
        <v>604</v>
      </c>
      <c r="C59" s="129"/>
      <c r="D59" s="129"/>
      <c r="E59" s="129"/>
      <c r="F59" s="129"/>
      <c r="G59" s="25" t="s">
        <v>501</v>
      </c>
      <c r="H59" s="2"/>
      <c r="I59" s="2">
        <f>I57*39</f>
        <v>780</v>
      </c>
      <c r="J59" s="2">
        <f>J57*39</f>
        <v>156</v>
      </c>
      <c r="K59" s="2">
        <f>K57*39</f>
        <v>39</v>
      </c>
      <c r="L59" s="114">
        <f t="shared" si="12"/>
        <v>975</v>
      </c>
    </row>
    <row r="60" spans="1:19" ht="26.25" customHeight="1" x14ac:dyDescent="0.25">
      <c r="A60" s="113">
        <f t="shared" si="11"/>
        <v>53</v>
      </c>
      <c r="B60" s="129" t="s">
        <v>507</v>
      </c>
      <c r="C60" s="129"/>
      <c r="D60" s="129"/>
      <c r="E60" s="129"/>
      <c r="F60" s="129"/>
      <c r="G60" s="25" t="s">
        <v>503</v>
      </c>
      <c r="H60" s="2">
        <f>H57*100</f>
        <v>600</v>
      </c>
      <c r="I60" s="2">
        <f t="shared" ref="I60:K60" si="13">I57*100</f>
        <v>2000</v>
      </c>
      <c r="J60" s="2">
        <f t="shared" si="13"/>
        <v>400</v>
      </c>
      <c r="K60" s="2">
        <f t="shared" si="13"/>
        <v>100</v>
      </c>
      <c r="L60" s="114">
        <f t="shared" si="12"/>
        <v>3100</v>
      </c>
    </row>
    <row r="61" spans="1:19" ht="26.25" customHeight="1" x14ac:dyDescent="0.25">
      <c r="A61" s="113">
        <f t="shared" si="11"/>
        <v>54</v>
      </c>
      <c r="B61" s="129" t="s">
        <v>508</v>
      </c>
      <c r="C61" s="129"/>
      <c r="D61" s="129"/>
      <c r="E61" s="129"/>
      <c r="F61" s="129"/>
      <c r="G61" s="25" t="s">
        <v>501</v>
      </c>
      <c r="H61" s="2">
        <f>H57*21</f>
        <v>126</v>
      </c>
      <c r="I61" s="2">
        <f t="shared" ref="I61:K61" si="14">I57*21</f>
        <v>420</v>
      </c>
      <c r="J61" s="2">
        <f t="shared" si="14"/>
        <v>84</v>
      </c>
      <c r="K61" s="2">
        <f t="shared" si="14"/>
        <v>21</v>
      </c>
      <c r="L61" s="114">
        <f t="shared" si="12"/>
        <v>651</v>
      </c>
    </row>
    <row r="62" spans="1:19" ht="28.5" customHeight="1" x14ac:dyDescent="0.25">
      <c r="A62" s="113">
        <f t="shared" si="11"/>
        <v>55</v>
      </c>
      <c r="B62" s="129" t="s">
        <v>509</v>
      </c>
      <c r="C62" s="129"/>
      <c r="D62" s="129"/>
      <c r="E62" s="129"/>
      <c r="F62" s="129"/>
      <c r="G62" s="25" t="s">
        <v>501</v>
      </c>
      <c r="H62" s="2">
        <f>H57*9</f>
        <v>54</v>
      </c>
      <c r="I62" s="2">
        <f t="shared" ref="I62:K62" si="15">I57*9</f>
        <v>180</v>
      </c>
      <c r="J62" s="2">
        <f t="shared" si="15"/>
        <v>36</v>
      </c>
      <c r="K62" s="2">
        <f t="shared" si="15"/>
        <v>9</v>
      </c>
      <c r="L62" s="114">
        <f t="shared" si="12"/>
        <v>279</v>
      </c>
    </row>
    <row r="63" spans="1:19" ht="15.75" customHeight="1" x14ac:dyDescent="0.25">
      <c r="A63" s="113">
        <f t="shared" si="11"/>
        <v>56</v>
      </c>
      <c r="B63" s="132" t="s">
        <v>510</v>
      </c>
      <c r="C63" s="132"/>
      <c r="D63" s="132"/>
      <c r="E63" s="132"/>
      <c r="F63" s="132"/>
      <c r="G63" s="89" t="s">
        <v>32</v>
      </c>
      <c r="H63" s="89">
        <f>'T5'!C9</f>
        <v>3</v>
      </c>
      <c r="I63" s="89">
        <f>'T5'!D9</f>
        <v>17</v>
      </c>
      <c r="J63" s="89">
        <f>'T5'!E9</f>
        <v>4</v>
      </c>
      <c r="K63" s="89"/>
      <c r="L63" s="98">
        <f t="shared" si="12"/>
        <v>24</v>
      </c>
    </row>
    <row r="64" spans="1:19" x14ac:dyDescent="0.25">
      <c r="A64" s="113">
        <f t="shared" si="11"/>
        <v>57</v>
      </c>
      <c r="B64" s="129" t="s">
        <v>511</v>
      </c>
      <c r="C64" s="129"/>
      <c r="D64" s="129"/>
      <c r="E64" s="129"/>
      <c r="F64" s="129"/>
      <c r="G64" s="25" t="s">
        <v>501</v>
      </c>
      <c r="H64" s="2">
        <f>H63*20</f>
        <v>60</v>
      </c>
      <c r="I64" s="2"/>
      <c r="J64" s="2"/>
      <c r="K64" s="2"/>
      <c r="L64" s="114">
        <f t="shared" si="12"/>
        <v>60</v>
      </c>
    </row>
    <row r="65" spans="1:15" x14ac:dyDescent="0.25">
      <c r="A65" s="113">
        <f t="shared" si="11"/>
        <v>58</v>
      </c>
      <c r="B65" s="129" t="s">
        <v>605</v>
      </c>
      <c r="C65" s="129"/>
      <c r="D65" s="129"/>
      <c r="E65" s="129"/>
      <c r="F65" s="129"/>
      <c r="G65" s="25" t="s">
        <v>501</v>
      </c>
      <c r="H65" s="2"/>
      <c r="I65" s="2">
        <f>I63*20</f>
        <v>340</v>
      </c>
      <c r="J65" s="2">
        <f>J63*20</f>
        <v>80</v>
      </c>
      <c r="K65" s="2"/>
      <c r="L65" s="114">
        <f t="shared" si="12"/>
        <v>420</v>
      </c>
    </row>
    <row r="66" spans="1:15" ht="25.5" customHeight="1" x14ac:dyDescent="0.25">
      <c r="A66" s="113">
        <f t="shared" si="11"/>
        <v>59</v>
      </c>
      <c r="B66" s="129" t="s">
        <v>512</v>
      </c>
      <c r="C66" s="129"/>
      <c r="D66" s="129"/>
      <c r="E66" s="129"/>
      <c r="F66" s="129"/>
      <c r="G66" s="25" t="s">
        <v>503</v>
      </c>
      <c r="H66" s="2">
        <f>H63*40</f>
        <v>120</v>
      </c>
      <c r="I66" s="2">
        <f t="shared" ref="I66:J66" si="16">I63*40</f>
        <v>680</v>
      </c>
      <c r="J66" s="2">
        <f t="shared" si="16"/>
        <v>160</v>
      </c>
      <c r="K66" s="2"/>
      <c r="L66" s="114">
        <f t="shared" si="12"/>
        <v>960</v>
      </c>
    </row>
    <row r="67" spans="1:15" ht="21.75" customHeight="1" x14ac:dyDescent="0.25">
      <c r="A67" s="113">
        <f t="shared" si="11"/>
        <v>60</v>
      </c>
      <c r="B67" s="129" t="s">
        <v>513</v>
      </c>
      <c r="C67" s="129"/>
      <c r="D67" s="129"/>
      <c r="E67" s="129"/>
      <c r="F67" s="129"/>
      <c r="G67" s="25" t="s">
        <v>501</v>
      </c>
      <c r="H67" s="2">
        <f>H63*11</f>
        <v>33</v>
      </c>
      <c r="I67" s="2">
        <f t="shared" ref="I67:J67" si="17">I63*11</f>
        <v>187</v>
      </c>
      <c r="J67" s="2">
        <f t="shared" si="17"/>
        <v>44</v>
      </c>
      <c r="K67" s="2"/>
      <c r="L67" s="114">
        <f t="shared" si="12"/>
        <v>264</v>
      </c>
    </row>
    <row r="68" spans="1:15" ht="22.5" customHeight="1" x14ac:dyDescent="0.25">
      <c r="A68" s="113">
        <f t="shared" si="11"/>
        <v>61</v>
      </c>
      <c r="B68" s="129" t="s">
        <v>514</v>
      </c>
      <c r="C68" s="129"/>
      <c r="D68" s="129"/>
      <c r="E68" s="129"/>
      <c r="F68" s="129"/>
      <c r="G68" s="25" t="s">
        <v>501</v>
      </c>
      <c r="H68" s="2">
        <f>H63*5</f>
        <v>15</v>
      </c>
      <c r="I68" s="2">
        <f t="shared" ref="I68:J68" si="18">I63*5</f>
        <v>85</v>
      </c>
      <c r="J68" s="2">
        <f t="shared" si="18"/>
        <v>20</v>
      </c>
      <c r="K68" s="2"/>
      <c r="L68" s="114">
        <f t="shared" si="12"/>
        <v>120</v>
      </c>
    </row>
    <row r="69" spans="1:15" x14ac:dyDescent="0.25">
      <c r="A69" s="113">
        <f t="shared" si="11"/>
        <v>62</v>
      </c>
      <c r="B69" s="132" t="s">
        <v>515</v>
      </c>
      <c r="C69" s="132"/>
      <c r="D69" s="132"/>
      <c r="E69" s="132"/>
      <c r="F69" s="132"/>
      <c r="G69" s="89" t="s">
        <v>32</v>
      </c>
      <c r="H69" s="89">
        <f>'T5'!C11</f>
        <v>1</v>
      </c>
      <c r="I69" s="89"/>
      <c r="J69" s="89"/>
      <c r="K69" s="89">
        <f>'T5'!F11</f>
        <v>1</v>
      </c>
      <c r="L69" s="98">
        <f t="shared" si="12"/>
        <v>2</v>
      </c>
    </row>
    <row r="70" spans="1:15" x14ac:dyDescent="0.25">
      <c r="A70" s="113">
        <f t="shared" si="11"/>
        <v>63</v>
      </c>
      <c r="B70" s="129" t="s">
        <v>516</v>
      </c>
      <c r="C70" s="129"/>
      <c r="D70" s="129"/>
      <c r="E70" s="129"/>
      <c r="F70" s="129"/>
      <c r="G70" s="25" t="s">
        <v>501</v>
      </c>
      <c r="H70" s="2">
        <v>149</v>
      </c>
      <c r="I70" s="2"/>
      <c r="J70" s="2"/>
      <c r="K70" s="2"/>
      <c r="L70" s="98">
        <f t="shared" si="12"/>
        <v>149</v>
      </c>
      <c r="O70" s="50"/>
    </row>
    <row r="71" spans="1:15" x14ac:dyDescent="0.25">
      <c r="A71" s="113">
        <f t="shared" si="11"/>
        <v>64</v>
      </c>
      <c r="B71" s="129" t="s">
        <v>606</v>
      </c>
      <c r="C71" s="129"/>
      <c r="D71" s="129"/>
      <c r="E71" s="129"/>
      <c r="F71" s="129"/>
      <c r="G71" s="25" t="s">
        <v>501</v>
      </c>
      <c r="H71" s="2"/>
      <c r="I71" s="2"/>
      <c r="J71" s="2"/>
      <c r="K71" s="2">
        <v>149</v>
      </c>
      <c r="L71" s="98">
        <f t="shared" si="12"/>
        <v>149</v>
      </c>
      <c r="O71" s="50"/>
    </row>
    <row r="72" spans="1:15" ht="25.5" customHeight="1" x14ac:dyDescent="0.25">
      <c r="A72" s="113">
        <f t="shared" si="11"/>
        <v>65</v>
      </c>
      <c r="B72" s="129" t="s">
        <v>517</v>
      </c>
      <c r="C72" s="129"/>
      <c r="D72" s="129"/>
      <c r="E72" s="129"/>
      <c r="F72" s="129"/>
      <c r="G72" s="25" t="s">
        <v>503</v>
      </c>
      <c r="H72" s="2">
        <v>361</v>
      </c>
      <c r="I72" s="2"/>
      <c r="J72" s="2"/>
      <c r="K72" s="2">
        <v>361</v>
      </c>
      <c r="L72" s="98">
        <f t="shared" si="12"/>
        <v>722</v>
      </c>
      <c r="O72" s="50"/>
    </row>
    <row r="73" spans="1:15" ht="25.5" customHeight="1" x14ac:dyDescent="0.25">
      <c r="A73" s="113">
        <f t="shared" si="11"/>
        <v>66</v>
      </c>
      <c r="B73" s="129" t="s">
        <v>518</v>
      </c>
      <c r="C73" s="129"/>
      <c r="D73" s="129"/>
      <c r="E73" s="129"/>
      <c r="F73" s="129"/>
      <c r="G73" s="25" t="s">
        <v>501</v>
      </c>
      <c r="H73" s="2">
        <v>77</v>
      </c>
      <c r="I73" s="2"/>
      <c r="J73" s="2"/>
      <c r="K73" s="2">
        <v>77</v>
      </c>
      <c r="L73" s="98">
        <f t="shared" si="12"/>
        <v>154</v>
      </c>
      <c r="O73" s="50"/>
    </row>
    <row r="74" spans="1:15" ht="25.5" customHeight="1" x14ac:dyDescent="0.25">
      <c r="A74" s="113">
        <f t="shared" si="11"/>
        <v>67</v>
      </c>
      <c r="B74" s="129" t="s">
        <v>519</v>
      </c>
      <c r="C74" s="129"/>
      <c r="D74" s="129"/>
      <c r="E74" s="129"/>
      <c r="F74" s="129"/>
      <c r="G74" s="25" t="s">
        <v>501</v>
      </c>
      <c r="H74" s="2">
        <v>35</v>
      </c>
      <c r="I74" s="2"/>
      <c r="J74" s="2"/>
      <c r="K74" s="2">
        <v>35</v>
      </c>
      <c r="L74" s="98">
        <f t="shared" si="12"/>
        <v>70</v>
      </c>
    </row>
    <row r="75" spans="1:15" x14ac:dyDescent="0.25">
      <c r="A75" s="113">
        <f t="shared" si="11"/>
        <v>68</v>
      </c>
      <c r="B75" s="128" t="s">
        <v>524</v>
      </c>
      <c r="C75" s="128"/>
      <c r="D75" s="128"/>
      <c r="E75" s="128"/>
      <c r="F75" s="128"/>
      <c r="G75" s="89" t="s">
        <v>32</v>
      </c>
      <c r="H75" s="2"/>
      <c r="I75" s="2">
        <f>'T5'!D10</f>
        <v>5</v>
      </c>
      <c r="J75" s="2">
        <f>'T5'!E10</f>
        <v>2</v>
      </c>
      <c r="K75" s="2"/>
      <c r="L75" s="98">
        <f t="shared" si="12"/>
        <v>7</v>
      </c>
    </row>
    <row r="76" spans="1:15" x14ac:dyDescent="0.25">
      <c r="A76" s="113">
        <f t="shared" si="11"/>
        <v>69</v>
      </c>
      <c r="B76" s="129" t="s">
        <v>607</v>
      </c>
      <c r="C76" s="129"/>
      <c r="D76" s="129"/>
      <c r="E76" s="129"/>
      <c r="F76" s="129"/>
      <c r="G76" s="25" t="s">
        <v>501</v>
      </c>
      <c r="H76" s="2"/>
      <c r="I76" s="2">
        <f>I75*75</f>
        <v>375</v>
      </c>
      <c r="J76" s="2">
        <f>J75*75</f>
        <v>150</v>
      </c>
      <c r="K76" s="2"/>
      <c r="L76" s="98">
        <f t="shared" si="12"/>
        <v>525</v>
      </c>
    </row>
    <row r="77" spans="1:15" ht="25.5" customHeight="1" x14ac:dyDescent="0.25">
      <c r="A77" s="113">
        <f t="shared" si="11"/>
        <v>70</v>
      </c>
      <c r="B77" s="129" t="s">
        <v>525</v>
      </c>
      <c r="C77" s="129"/>
      <c r="D77" s="129"/>
      <c r="E77" s="129"/>
      <c r="F77" s="129"/>
      <c r="G77" s="25" t="s">
        <v>503</v>
      </c>
      <c r="H77" s="2"/>
      <c r="I77" s="2">
        <f>I75*250</f>
        <v>1250</v>
      </c>
      <c r="J77" s="2">
        <f>J75*250</f>
        <v>500</v>
      </c>
      <c r="K77" s="2"/>
      <c r="L77" s="98">
        <f t="shared" si="12"/>
        <v>1750</v>
      </c>
    </row>
    <row r="78" spans="1:15" ht="25.5" customHeight="1" x14ac:dyDescent="0.25">
      <c r="A78" s="113">
        <f t="shared" si="11"/>
        <v>71</v>
      </c>
      <c r="B78" s="129" t="s">
        <v>526</v>
      </c>
      <c r="C78" s="129"/>
      <c r="D78" s="129"/>
      <c r="E78" s="129"/>
      <c r="F78" s="129"/>
      <c r="G78" s="25" t="s">
        <v>501</v>
      </c>
      <c r="H78" s="2"/>
      <c r="I78" s="2">
        <f>I75*62</f>
        <v>310</v>
      </c>
      <c r="J78" s="2">
        <f>J75*62</f>
        <v>124</v>
      </c>
      <c r="K78" s="2"/>
      <c r="L78" s="98">
        <f t="shared" si="12"/>
        <v>434</v>
      </c>
    </row>
    <row r="79" spans="1:15" ht="25.5" customHeight="1" x14ac:dyDescent="0.25">
      <c r="A79" s="113">
        <f t="shared" si="11"/>
        <v>72</v>
      </c>
      <c r="B79" s="129" t="s">
        <v>527</v>
      </c>
      <c r="C79" s="129"/>
      <c r="D79" s="129"/>
      <c r="E79" s="129"/>
      <c r="F79" s="129"/>
      <c r="G79" s="25" t="s">
        <v>501</v>
      </c>
      <c r="H79" s="2"/>
      <c r="I79" s="2">
        <f>I75*23</f>
        <v>115</v>
      </c>
      <c r="J79" s="2">
        <f>J75*23</f>
        <v>46</v>
      </c>
      <c r="K79" s="2"/>
      <c r="L79" s="98">
        <f t="shared" si="12"/>
        <v>161</v>
      </c>
    </row>
    <row r="80" spans="1:15" x14ac:dyDescent="0.25">
      <c r="A80" s="113">
        <f t="shared" ref="A80:A81" si="19">A79+1</f>
        <v>73</v>
      </c>
      <c r="B80" s="128" t="s">
        <v>520</v>
      </c>
      <c r="C80" s="128"/>
      <c r="D80" s="128"/>
      <c r="E80" s="128"/>
      <c r="F80" s="128"/>
      <c r="G80" s="89" t="s">
        <v>32</v>
      </c>
      <c r="H80" s="89">
        <f>'T5'!C6</f>
        <v>1</v>
      </c>
      <c r="I80" s="89">
        <f>'T5'!D6</f>
        <v>2</v>
      </c>
      <c r="J80" s="89">
        <f>'T5'!E6</f>
        <v>1</v>
      </c>
      <c r="K80" s="89"/>
      <c r="L80" s="98">
        <f t="shared" si="12"/>
        <v>4</v>
      </c>
    </row>
    <row r="81" spans="1:12" ht="15" customHeight="1" x14ac:dyDescent="0.25">
      <c r="A81" s="113">
        <f t="shared" si="19"/>
        <v>74</v>
      </c>
      <c r="B81" s="125" t="s">
        <v>621</v>
      </c>
      <c r="C81" s="125"/>
      <c r="D81" s="125"/>
      <c r="E81" s="125"/>
      <c r="F81" s="125"/>
      <c r="G81" s="125"/>
      <c r="H81" s="125"/>
      <c r="I81" s="125"/>
      <c r="J81" s="125"/>
      <c r="K81" s="125"/>
      <c r="L81" s="125"/>
    </row>
    <row r="82" spans="1:12" ht="15" customHeight="1" x14ac:dyDescent="0.25">
      <c r="A82" s="113">
        <f t="shared" ref="A82:A85" si="20">A81+1</f>
        <v>75</v>
      </c>
      <c r="B82" s="126" t="s">
        <v>521</v>
      </c>
      <c r="C82" s="126"/>
      <c r="D82" s="126"/>
      <c r="E82" s="126"/>
      <c r="F82" s="126"/>
      <c r="G82" s="90" t="s">
        <v>32</v>
      </c>
      <c r="H82" s="90">
        <f>'T2'!F31</f>
        <v>1</v>
      </c>
      <c r="I82" s="90">
        <f>'T2'!G31</f>
        <v>2</v>
      </c>
      <c r="J82" s="90">
        <f>'T2'!H31</f>
        <v>2</v>
      </c>
      <c r="K82" s="90">
        <f>'T2'!I31</f>
        <v>1</v>
      </c>
      <c r="L82" s="114">
        <f>SUM(H82:K82)</f>
        <v>6</v>
      </c>
    </row>
    <row r="83" spans="1:12" ht="15" customHeight="1" x14ac:dyDescent="0.25">
      <c r="A83" s="113">
        <f t="shared" si="20"/>
        <v>76</v>
      </c>
      <c r="B83" s="126" t="s">
        <v>600</v>
      </c>
      <c r="C83" s="126"/>
      <c r="D83" s="126"/>
      <c r="E83" s="126"/>
      <c r="F83" s="126"/>
      <c r="G83" s="90" t="s">
        <v>32</v>
      </c>
      <c r="H83" s="90">
        <v>1</v>
      </c>
      <c r="I83" s="90"/>
      <c r="J83" s="90"/>
      <c r="K83" s="90"/>
      <c r="L83" s="114">
        <f t="shared" ref="L83:L84" si="21">SUM(H83:K83)</f>
        <v>1</v>
      </c>
    </row>
    <row r="84" spans="1:12" ht="15" customHeight="1" x14ac:dyDescent="0.25">
      <c r="A84" s="113">
        <f t="shared" si="20"/>
        <v>77</v>
      </c>
      <c r="B84" s="126" t="s">
        <v>601</v>
      </c>
      <c r="C84" s="126"/>
      <c r="D84" s="126"/>
      <c r="E84" s="126"/>
      <c r="F84" s="126"/>
      <c r="G84" s="25" t="s">
        <v>501</v>
      </c>
      <c r="H84" s="90"/>
      <c r="I84" s="90">
        <v>45</v>
      </c>
      <c r="J84" s="90"/>
      <c r="K84" s="90"/>
      <c r="L84" s="114">
        <f t="shared" si="21"/>
        <v>45</v>
      </c>
    </row>
    <row r="85" spans="1:12" x14ac:dyDescent="0.25">
      <c r="A85" s="113">
        <f t="shared" si="20"/>
        <v>78</v>
      </c>
      <c r="B85" s="127" t="s">
        <v>496</v>
      </c>
      <c r="C85" s="127"/>
      <c r="D85" s="127"/>
      <c r="E85" s="127"/>
      <c r="F85" s="127"/>
      <c r="G85" s="90" t="s">
        <v>497</v>
      </c>
      <c r="H85" s="25">
        <v>1</v>
      </c>
      <c r="I85" s="25">
        <v>1</v>
      </c>
      <c r="J85" s="25">
        <v>1</v>
      </c>
      <c r="K85" s="25">
        <v>1</v>
      </c>
      <c r="L85" s="114">
        <f>SUM(H85:K85)</f>
        <v>4</v>
      </c>
    </row>
    <row r="86" spans="1:12" x14ac:dyDescent="0.25">
      <c r="A86" s="6" t="s">
        <v>7</v>
      </c>
      <c r="B86" s="6"/>
      <c r="C86" s="6"/>
      <c r="D86" s="6"/>
      <c r="E86" s="6"/>
    </row>
    <row r="87" spans="1:12" x14ac:dyDescent="0.25">
      <c r="A87" s="7"/>
      <c r="B87" s="16"/>
      <c r="C87" s="16"/>
      <c r="D87" s="16"/>
      <c r="E87" s="16"/>
    </row>
    <row r="88" spans="1:12" x14ac:dyDescent="0.25">
      <c r="A88" s="7"/>
      <c r="B88" s="16"/>
      <c r="C88" s="16"/>
      <c r="D88" s="16"/>
      <c r="E88" s="16"/>
    </row>
    <row r="89" spans="1:12" x14ac:dyDescent="0.25">
      <c r="A89" s="7"/>
      <c r="B89" s="16"/>
      <c r="C89" s="16"/>
      <c r="D89" s="16"/>
      <c r="E89" s="16"/>
    </row>
    <row r="90" spans="1:12" x14ac:dyDescent="0.25">
      <c r="A90" s="7"/>
      <c r="B90" s="16"/>
      <c r="C90" s="16"/>
      <c r="D90" s="16"/>
      <c r="E90" s="16"/>
    </row>
    <row r="91" spans="1:12" x14ac:dyDescent="0.25">
      <c r="A91" s="16"/>
      <c r="B91" s="16"/>
      <c r="D91" s="16"/>
      <c r="G91" s="16"/>
    </row>
    <row r="92" spans="1:12" x14ac:dyDescent="0.25">
      <c r="A92" s="7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2" x14ac:dyDescent="0.25">
      <c r="A93" s="16"/>
      <c r="B93" s="16"/>
      <c r="C93" s="16"/>
      <c r="D93" s="16"/>
      <c r="E93" s="16"/>
    </row>
    <row r="94" spans="1:12" x14ac:dyDescent="0.25">
      <c r="A94" s="7"/>
      <c r="B94" s="16"/>
    </row>
  </sheetData>
  <mergeCells count="86">
    <mergeCell ref="B33:F33"/>
    <mergeCell ref="B37:F37"/>
    <mergeCell ref="B39:F39"/>
    <mergeCell ref="B42:F42"/>
    <mergeCell ref="B40:F40"/>
    <mergeCell ref="B34:F34"/>
    <mergeCell ref="B35:F35"/>
    <mergeCell ref="B36:F36"/>
    <mergeCell ref="B38:F38"/>
    <mergeCell ref="B41:F41"/>
    <mergeCell ref="B28:L28"/>
    <mergeCell ref="B29:F29"/>
    <mergeCell ref="B30:F30"/>
    <mergeCell ref="B31:F31"/>
    <mergeCell ref="B32:F32"/>
    <mergeCell ref="B46:F46"/>
    <mergeCell ref="B53:F53"/>
    <mergeCell ref="B59:F59"/>
    <mergeCell ref="B65:F65"/>
    <mergeCell ref="B71:F71"/>
    <mergeCell ref="B60:F60"/>
    <mergeCell ref="B61:F61"/>
    <mergeCell ref="B62:F62"/>
    <mergeCell ref="B63:F63"/>
    <mergeCell ref="B52:F52"/>
    <mergeCell ref="B54:F54"/>
    <mergeCell ref="B55:F55"/>
    <mergeCell ref="B56:F56"/>
    <mergeCell ref="B21:L21"/>
    <mergeCell ref="B24:F24"/>
    <mergeCell ref="B25:F25"/>
    <mergeCell ref="B26:F26"/>
    <mergeCell ref="B22:F22"/>
    <mergeCell ref="B23:F23"/>
    <mergeCell ref="B11:F11"/>
    <mergeCell ref="B12:F12"/>
    <mergeCell ref="B14:F14"/>
    <mergeCell ref="B17:F17"/>
    <mergeCell ref="B18:F18"/>
    <mergeCell ref="B13:F13"/>
    <mergeCell ref="B15:F15"/>
    <mergeCell ref="B16:F16"/>
    <mergeCell ref="A3:A5"/>
    <mergeCell ref="B3:F5"/>
    <mergeCell ref="B51:L51"/>
    <mergeCell ref="B44:F44"/>
    <mergeCell ref="B45:F45"/>
    <mergeCell ref="B48:F48"/>
    <mergeCell ref="B49:F49"/>
    <mergeCell ref="B50:F50"/>
    <mergeCell ref="G3:G5"/>
    <mergeCell ref="B6:F6"/>
    <mergeCell ref="B7:F7"/>
    <mergeCell ref="B19:F19"/>
    <mergeCell ref="B20:F20"/>
    <mergeCell ref="B9:F9"/>
    <mergeCell ref="B10:F10"/>
    <mergeCell ref="B27:F27"/>
    <mergeCell ref="B72:F72"/>
    <mergeCell ref="B74:F74"/>
    <mergeCell ref="H3:K3"/>
    <mergeCell ref="L3:L5"/>
    <mergeCell ref="H4:K4"/>
    <mergeCell ref="B8:L8"/>
    <mergeCell ref="B43:L43"/>
    <mergeCell ref="B47:L47"/>
    <mergeCell ref="B64:F64"/>
    <mergeCell ref="B66:F66"/>
    <mergeCell ref="B67:F67"/>
    <mergeCell ref="B68:F68"/>
    <mergeCell ref="B69:F69"/>
    <mergeCell ref="B70:F70"/>
    <mergeCell ref="B57:F57"/>
    <mergeCell ref="B58:F58"/>
    <mergeCell ref="B73:F73"/>
    <mergeCell ref="B80:F80"/>
    <mergeCell ref="B77:F77"/>
    <mergeCell ref="B78:F78"/>
    <mergeCell ref="B79:F79"/>
    <mergeCell ref="B81:L81"/>
    <mergeCell ref="B82:F82"/>
    <mergeCell ref="B85:F85"/>
    <mergeCell ref="B75:F75"/>
    <mergeCell ref="B76:F76"/>
    <mergeCell ref="B83:F83"/>
    <mergeCell ref="B84:F8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5A6C5-519B-4020-8BBE-41760DF6A107}">
  <dimension ref="A1:S94"/>
  <sheetViews>
    <sheetView tabSelected="1" topLeftCell="A31" zoomScale="70" zoomScaleNormal="70" workbookViewId="0">
      <selection activeCell="A3" sqref="A3:S94"/>
    </sheetView>
  </sheetViews>
  <sheetFormatPr defaultRowHeight="15" x14ac:dyDescent="0.25"/>
  <cols>
    <col min="1" max="1" width="5.7109375" customWidth="1"/>
    <col min="6" max="6" width="13.5703125" customWidth="1"/>
    <col min="13" max="13" width="12.140625" bestFit="1" customWidth="1"/>
    <col min="15" max="15" width="9.5703125" bestFit="1" customWidth="1"/>
    <col min="16" max="16" width="9.28515625" bestFit="1" customWidth="1"/>
    <col min="17" max="17" width="9.28515625" customWidth="1"/>
    <col min="18" max="18" width="9.28515625" bestFit="1" customWidth="1"/>
    <col min="19" max="19" width="11.7109375" customWidth="1"/>
  </cols>
  <sheetData>
    <row r="1" spans="1:19" ht="15.75" x14ac:dyDescent="0.25">
      <c r="A1" s="71" t="s">
        <v>554</v>
      </c>
    </row>
    <row r="3" spans="1:19" x14ac:dyDescent="0.25">
      <c r="A3" s="193" t="s">
        <v>0</v>
      </c>
      <c r="B3" s="190" t="s">
        <v>222</v>
      </c>
      <c r="C3" s="190"/>
      <c r="D3" s="190"/>
      <c r="E3" s="190"/>
      <c r="F3" s="190"/>
      <c r="G3" s="190" t="s">
        <v>223</v>
      </c>
      <c r="H3" s="190" t="s">
        <v>224</v>
      </c>
      <c r="I3" s="190"/>
      <c r="J3" s="190"/>
      <c r="K3" s="190"/>
      <c r="L3" s="192" t="s">
        <v>62</v>
      </c>
      <c r="M3" s="193" t="s">
        <v>528</v>
      </c>
      <c r="N3" s="189" t="s">
        <v>529</v>
      </c>
      <c r="O3" s="190" t="s">
        <v>530</v>
      </c>
      <c r="P3" s="190"/>
      <c r="Q3" s="190"/>
      <c r="R3" s="190"/>
      <c r="S3" s="190"/>
    </row>
    <row r="4" spans="1:19" x14ac:dyDescent="0.25">
      <c r="A4" s="193"/>
      <c r="B4" s="190"/>
      <c r="C4" s="190"/>
      <c r="D4" s="190"/>
      <c r="E4" s="190"/>
      <c r="F4" s="190"/>
      <c r="G4" s="190"/>
      <c r="H4" s="190" t="s">
        <v>225</v>
      </c>
      <c r="I4" s="190"/>
      <c r="J4" s="190"/>
      <c r="K4" s="190"/>
      <c r="L4" s="192"/>
      <c r="M4" s="193"/>
      <c r="N4" s="189"/>
      <c r="O4" s="190" t="s">
        <v>225</v>
      </c>
      <c r="P4" s="190"/>
      <c r="Q4" s="190"/>
      <c r="R4" s="190"/>
      <c r="S4" s="191" t="s">
        <v>440</v>
      </c>
    </row>
    <row r="5" spans="1:19" x14ac:dyDescent="0.25">
      <c r="A5" s="193"/>
      <c r="B5" s="190"/>
      <c r="C5" s="190"/>
      <c r="D5" s="190"/>
      <c r="E5" s="190"/>
      <c r="F5" s="190"/>
      <c r="G5" s="190"/>
      <c r="H5" s="91" t="s">
        <v>226</v>
      </c>
      <c r="I5" s="91" t="s">
        <v>227</v>
      </c>
      <c r="J5" s="91" t="s">
        <v>326</v>
      </c>
      <c r="K5" s="91" t="s">
        <v>262</v>
      </c>
      <c r="L5" s="192"/>
      <c r="M5" s="193"/>
      <c r="N5" s="189"/>
      <c r="O5" s="91" t="s">
        <v>226</v>
      </c>
      <c r="P5" s="91" t="s">
        <v>227</v>
      </c>
      <c r="Q5" s="91" t="s">
        <v>326</v>
      </c>
      <c r="R5" s="91" t="s">
        <v>262</v>
      </c>
      <c r="S5" s="191"/>
    </row>
    <row r="6" spans="1:19" x14ac:dyDescent="0.25">
      <c r="A6" s="92" t="s">
        <v>34</v>
      </c>
      <c r="B6" s="194" t="s">
        <v>35</v>
      </c>
      <c r="C6" s="194"/>
      <c r="D6" s="194"/>
      <c r="E6" s="194"/>
      <c r="F6" s="194"/>
      <c r="G6" s="92" t="s">
        <v>36</v>
      </c>
      <c r="H6" s="92" t="s">
        <v>37</v>
      </c>
      <c r="I6" s="92" t="s">
        <v>38</v>
      </c>
      <c r="J6" s="92" t="s">
        <v>39</v>
      </c>
      <c r="K6" s="93" t="s">
        <v>40</v>
      </c>
      <c r="L6" s="92" t="s">
        <v>41</v>
      </c>
      <c r="M6" s="92" t="s">
        <v>42</v>
      </c>
      <c r="N6" s="92" t="s">
        <v>43</v>
      </c>
      <c r="O6" s="92" t="s">
        <v>44</v>
      </c>
      <c r="P6" s="92" t="s">
        <v>45</v>
      </c>
      <c r="Q6" s="92" t="s">
        <v>46</v>
      </c>
      <c r="R6" s="92" t="s">
        <v>47</v>
      </c>
      <c r="S6" s="92" t="s">
        <v>48</v>
      </c>
    </row>
    <row r="7" spans="1:19" x14ac:dyDescent="0.25">
      <c r="A7" s="94">
        <v>0</v>
      </c>
      <c r="B7" s="184" t="str">
        <f>'T1'!B7</f>
        <v>Rekonstrueeritava tee koondpikkus</v>
      </c>
      <c r="C7" s="184"/>
      <c r="D7" s="184"/>
      <c r="E7" s="184"/>
      <c r="F7" s="184"/>
      <c r="G7" s="94" t="str">
        <f>'T1'!G7</f>
        <v>m</v>
      </c>
      <c r="H7" s="95">
        <f>'T1'!H7</f>
        <v>1135</v>
      </c>
      <c r="I7" s="95">
        <f>'T1'!I7</f>
        <v>5101</v>
      </c>
      <c r="J7" s="95">
        <f>'T1'!J7</f>
        <v>1200</v>
      </c>
      <c r="K7" s="95">
        <f>'T1'!K7</f>
        <v>504</v>
      </c>
      <c r="L7" s="96">
        <f>SUM(H7:K7)</f>
        <v>7940</v>
      </c>
      <c r="M7" s="25"/>
      <c r="N7" s="25"/>
      <c r="O7" s="25"/>
      <c r="P7" s="25"/>
      <c r="Q7" s="25"/>
      <c r="R7" s="25"/>
      <c r="S7" s="25"/>
    </row>
    <row r="8" spans="1:19" x14ac:dyDescent="0.25">
      <c r="A8" s="90">
        <v>1</v>
      </c>
      <c r="B8" s="185" t="str">
        <f>'T1'!B8</f>
        <v>I.Ettevalmistustööd</v>
      </c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</row>
    <row r="9" spans="1:19" ht="15" customHeight="1" x14ac:dyDescent="0.25">
      <c r="A9" s="90">
        <f>A8+1</f>
        <v>2</v>
      </c>
      <c r="B9" s="134" t="str">
        <f>'T1'!B9</f>
        <v>Madala võsa raie (MV)</v>
      </c>
      <c r="C9" s="134"/>
      <c r="D9" s="134"/>
      <c r="E9" s="134"/>
      <c r="F9" s="134"/>
      <c r="G9" s="25" t="str">
        <f>'T1'!G9</f>
        <v>ha</v>
      </c>
      <c r="H9" s="97">
        <f>'T1'!H9</f>
        <v>0.49919999999999998</v>
      </c>
      <c r="I9" s="97">
        <f>'T1'!I9</f>
        <v>0.54669999999999996</v>
      </c>
      <c r="J9" s="97"/>
      <c r="K9" s="97"/>
      <c r="L9" s="118">
        <f t="shared" ref="L9:L18" si="0">SUM(H9:K9)</f>
        <v>1.0459000000000001</v>
      </c>
      <c r="M9" s="97">
        <v>343.6</v>
      </c>
      <c r="N9" s="25" t="s">
        <v>608</v>
      </c>
      <c r="O9" s="97">
        <f t="shared" ref="O9:O18" si="1">H9*$M9</f>
        <v>171.52512000000002</v>
      </c>
      <c r="P9" s="97">
        <f t="shared" ref="P9:P18" si="2">I9*$M9</f>
        <v>187.84612000000001</v>
      </c>
      <c r="Q9" s="97"/>
      <c r="R9" s="97"/>
      <c r="S9" s="98">
        <f t="shared" ref="S9:S18" si="3">SUM(O9:R9)</f>
        <v>359.37124000000006</v>
      </c>
    </row>
    <row r="10" spans="1:19" x14ac:dyDescent="0.25">
      <c r="A10" s="90">
        <f t="shared" ref="A10:A73" si="4">A9+1</f>
        <v>3</v>
      </c>
      <c r="B10" s="134" t="str">
        <f>'T1'!B10</f>
        <v>Madala võsa vedu 600 m  (MV)</v>
      </c>
      <c r="C10" s="134"/>
      <c r="D10" s="134"/>
      <c r="E10" s="134"/>
      <c r="F10" s="134"/>
      <c r="G10" s="25" t="str">
        <f>'T1'!G10</f>
        <v>ha</v>
      </c>
      <c r="H10" s="97">
        <f>'T1'!H10</f>
        <v>0.49919999999999998</v>
      </c>
      <c r="I10" s="97">
        <f>'T1'!I10</f>
        <v>0.54669999999999996</v>
      </c>
      <c r="J10" s="97"/>
      <c r="K10" s="97"/>
      <c r="L10" s="118">
        <f t="shared" si="0"/>
        <v>1.0459000000000001</v>
      </c>
      <c r="M10" s="97">
        <v>460.2</v>
      </c>
      <c r="N10" s="25" t="s">
        <v>532</v>
      </c>
      <c r="O10" s="97">
        <f t="shared" si="1"/>
        <v>229.73183999999998</v>
      </c>
      <c r="P10" s="97">
        <f t="shared" si="2"/>
        <v>251.59133999999997</v>
      </c>
      <c r="Q10" s="97"/>
      <c r="R10" s="97"/>
      <c r="S10" s="98">
        <f t="shared" si="3"/>
        <v>481.32317999999998</v>
      </c>
    </row>
    <row r="11" spans="1:19" x14ac:dyDescent="0.25">
      <c r="A11" s="90">
        <f t="shared" si="4"/>
        <v>4</v>
      </c>
      <c r="B11" s="134" t="str">
        <f>'T1'!B11</f>
        <v>Kõrge võsa raie (KV)</v>
      </c>
      <c r="C11" s="134"/>
      <c r="D11" s="134"/>
      <c r="E11" s="134"/>
      <c r="F11" s="134"/>
      <c r="G11" s="25" t="str">
        <f>'T1'!G11</f>
        <v>ha</v>
      </c>
      <c r="H11" s="97">
        <f>'T1'!H11</f>
        <v>0.61950000000000005</v>
      </c>
      <c r="I11" s="97">
        <f>'T1'!I11</f>
        <v>1.8702000000000001</v>
      </c>
      <c r="J11" s="97"/>
      <c r="K11" s="97"/>
      <c r="L11" s="118">
        <f t="shared" si="0"/>
        <v>2.4897</v>
      </c>
      <c r="M11" s="97">
        <v>429.5</v>
      </c>
      <c r="N11" s="25" t="s">
        <v>609</v>
      </c>
      <c r="O11" s="97">
        <f t="shared" si="1"/>
        <v>266.07525000000004</v>
      </c>
      <c r="P11" s="97">
        <f t="shared" si="2"/>
        <v>803.2509</v>
      </c>
      <c r="Q11" s="97"/>
      <c r="R11" s="97"/>
      <c r="S11" s="98">
        <f t="shared" si="3"/>
        <v>1069.3261500000001</v>
      </c>
    </row>
    <row r="12" spans="1:19" x14ac:dyDescent="0.25">
      <c r="A12" s="90">
        <f t="shared" si="4"/>
        <v>5</v>
      </c>
      <c r="B12" s="134" t="str">
        <f>'T1'!B12</f>
        <v>Kõrge võsa vedu 600 m (KV)</v>
      </c>
      <c r="C12" s="134"/>
      <c r="D12" s="134"/>
      <c r="E12" s="134"/>
      <c r="F12" s="134"/>
      <c r="G12" s="25" t="str">
        <f>'T1'!G12</f>
        <v>ha</v>
      </c>
      <c r="H12" s="97">
        <f>'T1'!H12</f>
        <v>0.61950000000000005</v>
      </c>
      <c r="I12" s="97">
        <f>'T1'!I12</f>
        <v>1.8702000000000001</v>
      </c>
      <c r="J12" s="97"/>
      <c r="K12" s="97"/>
      <c r="L12" s="118">
        <f t="shared" si="0"/>
        <v>2.4897</v>
      </c>
      <c r="M12" s="97">
        <v>460.2</v>
      </c>
      <c r="N12" s="25" t="s">
        <v>532</v>
      </c>
      <c r="O12" s="97">
        <f t="shared" si="1"/>
        <v>285.09390000000002</v>
      </c>
      <c r="P12" s="97">
        <f t="shared" si="2"/>
        <v>860.66604000000007</v>
      </c>
      <c r="Q12" s="97"/>
      <c r="R12" s="97"/>
      <c r="S12" s="98">
        <f t="shared" si="3"/>
        <v>1145.7599400000001</v>
      </c>
    </row>
    <row r="13" spans="1:19" x14ac:dyDescent="0.25">
      <c r="A13" s="90">
        <f t="shared" si="4"/>
        <v>6</v>
      </c>
      <c r="B13" s="134" t="str">
        <f>'T1'!B13</f>
        <v>Puittaimestiku raie, peenpuistu  (PP)</v>
      </c>
      <c r="C13" s="134"/>
      <c r="D13" s="134"/>
      <c r="E13" s="134"/>
      <c r="F13" s="134"/>
      <c r="G13" s="25" t="str">
        <f>'T1'!G13</f>
        <v>ha</v>
      </c>
      <c r="H13" s="97">
        <f>'T1'!H13</f>
        <v>0.61270000000000002</v>
      </c>
      <c r="I13" s="97">
        <f>'T1'!I13</f>
        <v>1.7092000000000001</v>
      </c>
      <c r="J13" s="97">
        <f>'T1'!J13</f>
        <v>0.24</v>
      </c>
      <c r="K13" s="97">
        <f>'T1'!K13</f>
        <v>0.1008</v>
      </c>
      <c r="L13" s="118">
        <f t="shared" si="0"/>
        <v>2.6627000000000005</v>
      </c>
      <c r="M13" s="97">
        <v>1109.7</v>
      </c>
      <c r="N13" s="25" t="s">
        <v>610</v>
      </c>
      <c r="O13" s="97">
        <f t="shared" si="1"/>
        <v>679.9131900000001</v>
      </c>
      <c r="P13" s="97">
        <f t="shared" si="2"/>
        <v>1896.6992400000001</v>
      </c>
      <c r="Q13" s="97">
        <f t="shared" ref="Q13:Q18" si="5">J13*$M13</f>
        <v>266.32799999999997</v>
      </c>
      <c r="R13" s="97">
        <f t="shared" ref="R13:R18" si="6">K13*$M13</f>
        <v>111.85776</v>
      </c>
      <c r="S13" s="98">
        <f t="shared" si="3"/>
        <v>2954.79819</v>
      </c>
    </row>
    <row r="14" spans="1:19" x14ac:dyDescent="0.25">
      <c r="A14" s="90">
        <f t="shared" si="4"/>
        <v>7</v>
      </c>
      <c r="B14" s="134" t="str">
        <f>'T1'!B14</f>
        <v>Tüveste vedu 600 m, peenpuistu (PP)</v>
      </c>
      <c r="C14" s="134"/>
      <c r="D14" s="134"/>
      <c r="E14" s="134"/>
      <c r="F14" s="134"/>
      <c r="G14" s="25" t="str">
        <f>'T1'!G14</f>
        <v>ha</v>
      </c>
      <c r="H14" s="97">
        <f>'T1'!H14</f>
        <v>0.61270000000000002</v>
      </c>
      <c r="I14" s="97">
        <f>'T1'!I14</f>
        <v>1.7092000000000001</v>
      </c>
      <c r="J14" s="97">
        <f>'T1'!J14</f>
        <v>0.24</v>
      </c>
      <c r="K14" s="97">
        <f>'T1'!K14</f>
        <v>0.1008</v>
      </c>
      <c r="L14" s="118">
        <f t="shared" si="0"/>
        <v>2.6627000000000005</v>
      </c>
      <c r="M14" s="97">
        <v>2638.47</v>
      </c>
      <c r="N14" s="25" t="s">
        <v>611</v>
      </c>
      <c r="O14" s="97">
        <f t="shared" si="1"/>
        <v>1616.590569</v>
      </c>
      <c r="P14" s="97">
        <f t="shared" si="2"/>
        <v>4509.6729239999995</v>
      </c>
      <c r="Q14" s="97">
        <f t="shared" si="5"/>
        <v>633.23279999999988</v>
      </c>
      <c r="R14" s="97">
        <f t="shared" si="6"/>
        <v>265.95777599999997</v>
      </c>
      <c r="S14" s="98">
        <f t="shared" si="3"/>
        <v>7025.4540689999994</v>
      </c>
    </row>
    <row r="15" spans="1:19" x14ac:dyDescent="0.25">
      <c r="A15" s="90">
        <f t="shared" si="4"/>
        <v>8</v>
      </c>
      <c r="B15" s="134" t="str">
        <f>'T1'!B15</f>
        <v>Puittaimestiku raie, jämepuistu  (JP)</v>
      </c>
      <c r="C15" s="134"/>
      <c r="D15" s="134"/>
      <c r="E15" s="134"/>
      <c r="F15" s="134"/>
      <c r="G15" s="25" t="str">
        <f>'T1'!G15</f>
        <v>ha</v>
      </c>
      <c r="H15" s="97"/>
      <c r="I15" s="97">
        <f>'T1'!I15</f>
        <v>0.2422</v>
      </c>
      <c r="J15" s="97"/>
      <c r="K15" s="97">
        <f>'T1'!K15</f>
        <v>0.1008</v>
      </c>
      <c r="L15" s="118">
        <f t="shared" si="0"/>
        <v>0.34299999999999997</v>
      </c>
      <c r="M15" s="117"/>
      <c r="N15" s="117"/>
      <c r="O15" s="97">
        <f t="shared" si="1"/>
        <v>0</v>
      </c>
      <c r="P15" s="97">
        <f t="shared" si="2"/>
        <v>0</v>
      </c>
      <c r="Q15" s="97">
        <f t="shared" si="5"/>
        <v>0</v>
      </c>
      <c r="R15" s="97">
        <f t="shared" si="6"/>
        <v>0</v>
      </c>
      <c r="S15" s="98">
        <f t="shared" si="3"/>
        <v>0</v>
      </c>
    </row>
    <row r="16" spans="1:19" x14ac:dyDescent="0.25">
      <c r="A16" s="90">
        <f t="shared" si="4"/>
        <v>9</v>
      </c>
      <c r="B16" s="134" t="str">
        <f>'T1'!B16</f>
        <v>Tüveste vedu 600 m, kämepuistu (JP)</v>
      </c>
      <c r="C16" s="134"/>
      <c r="D16" s="134"/>
      <c r="E16" s="134"/>
      <c r="F16" s="134"/>
      <c r="G16" s="25" t="str">
        <f>'T1'!G16</f>
        <v>ha</v>
      </c>
      <c r="H16" s="97"/>
      <c r="I16" s="97">
        <f>'T1'!I16</f>
        <v>0.2422</v>
      </c>
      <c r="J16" s="97"/>
      <c r="K16" s="97">
        <f>'T1'!K16</f>
        <v>0.1008</v>
      </c>
      <c r="L16" s="118">
        <f t="shared" si="0"/>
        <v>0.34299999999999997</v>
      </c>
      <c r="M16" s="117"/>
      <c r="N16" s="117"/>
      <c r="O16" s="97">
        <f t="shared" si="1"/>
        <v>0</v>
      </c>
      <c r="P16" s="97">
        <f t="shared" si="2"/>
        <v>0</v>
      </c>
      <c r="Q16" s="97">
        <f t="shared" si="5"/>
        <v>0</v>
      </c>
      <c r="R16" s="97">
        <f t="shared" si="6"/>
        <v>0</v>
      </c>
      <c r="S16" s="98">
        <f t="shared" si="3"/>
        <v>0</v>
      </c>
    </row>
    <row r="17" spans="1:19" ht="25.5" customHeight="1" x14ac:dyDescent="0.25">
      <c r="A17" s="90">
        <f t="shared" si="4"/>
        <v>10</v>
      </c>
      <c r="B17" s="134" t="str">
        <f>'T1'!B17</f>
        <v>Tee- ja kraavitrassi ning teerajatiste alune kändude juurimine ekskavaatoriga</v>
      </c>
      <c r="C17" s="134"/>
      <c r="D17" s="134"/>
      <c r="E17" s="134"/>
      <c r="F17" s="134"/>
      <c r="G17" s="25" t="str">
        <f>'T1'!G17</f>
        <v>ha</v>
      </c>
      <c r="H17" s="97">
        <f>'T1'!H17</f>
        <v>1.7314000000000001</v>
      </c>
      <c r="I17" s="97">
        <f>'T1'!I17</f>
        <v>4.3683000000000005</v>
      </c>
      <c r="J17" s="97">
        <f>'T1'!J17</f>
        <v>0.24</v>
      </c>
      <c r="K17" s="97">
        <f>'T1'!K17</f>
        <v>0.2016</v>
      </c>
      <c r="L17" s="118">
        <f t="shared" si="0"/>
        <v>6.5413000000000006</v>
      </c>
      <c r="M17" s="97">
        <v>382.96</v>
      </c>
      <c r="N17" s="25" t="s">
        <v>612</v>
      </c>
      <c r="O17" s="97">
        <f t="shared" si="1"/>
        <v>663.05694399999993</v>
      </c>
      <c r="P17" s="97">
        <f t="shared" si="2"/>
        <v>1672.884168</v>
      </c>
      <c r="Q17" s="97">
        <f t="shared" si="5"/>
        <v>91.910399999999996</v>
      </c>
      <c r="R17" s="97">
        <f t="shared" si="6"/>
        <v>77.204735999999997</v>
      </c>
      <c r="S17" s="98">
        <f t="shared" si="3"/>
        <v>2505.0562480000003</v>
      </c>
    </row>
    <row r="18" spans="1:19" x14ac:dyDescent="0.25">
      <c r="A18" s="90">
        <f t="shared" si="4"/>
        <v>11</v>
      </c>
      <c r="B18" s="134" t="str">
        <f>'T1'!B18</f>
        <v>Kändude koondamine hunnikutesse</v>
      </c>
      <c r="C18" s="134"/>
      <c r="D18" s="134"/>
      <c r="E18" s="134"/>
      <c r="F18" s="134"/>
      <c r="G18" s="25" t="str">
        <f>'T1'!G18</f>
        <v>ha</v>
      </c>
      <c r="H18" s="97">
        <f>'T1'!H18</f>
        <v>1.7314000000000001</v>
      </c>
      <c r="I18" s="97">
        <f>'T1'!I18</f>
        <v>4.3683000000000005</v>
      </c>
      <c r="J18" s="97">
        <f>'T1'!J18</f>
        <v>0.24</v>
      </c>
      <c r="K18" s="97">
        <f>'T1'!K18</f>
        <v>0.2016</v>
      </c>
      <c r="L18" s="118">
        <f t="shared" si="0"/>
        <v>6.5413000000000006</v>
      </c>
      <c r="M18" s="97">
        <v>108.71</v>
      </c>
      <c r="N18" s="25" t="s">
        <v>613</v>
      </c>
      <c r="O18" s="97">
        <f t="shared" si="1"/>
        <v>188.220494</v>
      </c>
      <c r="P18" s="97">
        <f t="shared" si="2"/>
        <v>474.87789300000003</v>
      </c>
      <c r="Q18" s="97">
        <f t="shared" si="5"/>
        <v>26.090399999999999</v>
      </c>
      <c r="R18" s="97">
        <f t="shared" si="6"/>
        <v>21.915935999999999</v>
      </c>
      <c r="S18" s="98">
        <f t="shared" si="3"/>
        <v>711.10472300000004</v>
      </c>
    </row>
    <row r="19" spans="1:19" ht="27" customHeight="1" x14ac:dyDescent="0.25">
      <c r="A19" s="90">
        <f t="shared" si="4"/>
        <v>12</v>
      </c>
      <c r="B19" s="134" t="str">
        <f>'T1'!B19</f>
        <v>Tee parameetrite ja -elementide mahamärkimine (telg, servad, kraavide siseservad)</v>
      </c>
      <c r="C19" s="134"/>
      <c r="D19" s="134"/>
      <c r="E19" s="134"/>
      <c r="F19" s="134"/>
      <c r="G19" s="25" t="str">
        <f>'T1'!G19</f>
        <v>m</v>
      </c>
      <c r="H19" s="25">
        <f>'T1'!H19</f>
        <v>1135</v>
      </c>
      <c r="I19" s="25">
        <f>'T1'!I19</f>
        <v>5101</v>
      </c>
      <c r="J19" s="25">
        <f>'T1'!J19</f>
        <v>1200</v>
      </c>
      <c r="K19" s="25">
        <f>'T1'!K19</f>
        <v>504</v>
      </c>
      <c r="L19" s="96">
        <f>SUM(H19:K19)</f>
        <v>7940</v>
      </c>
      <c r="M19" s="25">
        <v>0.12</v>
      </c>
      <c r="N19" s="25" t="s">
        <v>531</v>
      </c>
      <c r="O19" s="97">
        <f>H19*$M19</f>
        <v>136.19999999999999</v>
      </c>
      <c r="P19" s="97">
        <f t="shared" ref="P19:R19" si="7">I19*$M19</f>
        <v>612.12</v>
      </c>
      <c r="Q19" s="97">
        <f t="shared" si="7"/>
        <v>144</v>
      </c>
      <c r="R19" s="97">
        <f t="shared" si="7"/>
        <v>60.48</v>
      </c>
      <c r="S19" s="98">
        <f>SUM(O19:R19)</f>
        <v>952.8</v>
      </c>
    </row>
    <row r="20" spans="1:19" ht="15" customHeight="1" x14ac:dyDescent="0.25">
      <c r="A20" s="90">
        <f t="shared" si="4"/>
        <v>13</v>
      </c>
      <c r="B20" s="186" t="str">
        <f>'T1'!B20</f>
        <v>Tee rajatiste mahamärkimine</v>
      </c>
      <c r="C20" s="187"/>
      <c r="D20" s="187"/>
      <c r="E20" s="187"/>
      <c r="F20" s="188"/>
      <c r="G20" s="25" t="str">
        <f>'T1'!G20</f>
        <v>tk</v>
      </c>
      <c r="H20" s="25">
        <f>'T1'!H20</f>
        <v>11</v>
      </c>
      <c r="I20" s="25">
        <f>'T1'!I20</f>
        <v>45</v>
      </c>
      <c r="J20" s="25">
        <f>'T1'!J20</f>
        <v>11</v>
      </c>
      <c r="K20" s="25">
        <f>'T1'!K20</f>
        <v>2</v>
      </c>
      <c r="L20" s="96">
        <f>SUM(H20:K20)</f>
        <v>69</v>
      </c>
      <c r="M20" s="97">
        <v>15</v>
      </c>
      <c r="N20" s="25" t="s">
        <v>532</v>
      </c>
      <c r="O20" s="97">
        <f>H20*$M20</f>
        <v>165</v>
      </c>
      <c r="P20" s="97">
        <f t="shared" ref="P20" si="8">I20*$M20</f>
        <v>675</v>
      </c>
      <c r="Q20" s="97">
        <f t="shared" ref="Q20" si="9">J20*$M20</f>
        <v>165</v>
      </c>
      <c r="R20" s="97">
        <f>K20*$M20</f>
        <v>30</v>
      </c>
      <c r="S20" s="98">
        <f>SUM(O20:R20)</f>
        <v>1035</v>
      </c>
    </row>
    <row r="21" spans="1:19" x14ac:dyDescent="0.25">
      <c r="A21" s="90">
        <f t="shared" si="4"/>
        <v>14</v>
      </c>
      <c r="B21" s="176" t="s">
        <v>154</v>
      </c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98">
        <f>SUM(S9:S20)</f>
        <v>18239.993740000002</v>
      </c>
    </row>
    <row r="22" spans="1:19" x14ac:dyDescent="0.25">
      <c r="A22" s="90">
        <f t="shared" si="4"/>
        <v>15</v>
      </c>
      <c r="B22" s="140" t="str">
        <f>'T1'!B21:L21</f>
        <v>II.Veejuhtmete tööd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2"/>
    </row>
    <row r="23" spans="1:19" x14ac:dyDescent="0.25">
      <c r="A23" s="90">
        <f t="shared" si="4"/>
        <v>16</v>
      </c>
      <c r="B23" s="181" t="str">
        <f>'T1'!B22:F22</f>
        <v>Uute kraavide ja nõvade mahamärkimine</v>
      </c>
      <c r="C23" s="182"/>
      <c r="D23" s="182"/>
      <c r="E23" s="182"/>
      <c r="F23" s="183"/>
      <c r="G23" s="25" t="str">
        <f>'T1'!G22</f>
        <v>m</v>
      </c>
      <c r="H23" s="120">
        <f>'T1'!H22</f>
        <v>1067</v>
      </c>
      <c r="I23" s="120">
        <f>'T1'!I22</f>
        <v>2524</v>
      </c>
      <c r="J23" s="107"/>
      <c r="K23" s="107"/>
      <c r="L23" s="96">
        <f>SUM(H23:K23)</f>
        <v>3591</v>
      </c>
      <c r="M23" s="121">
        <v>0.06</v>
      </c>
      <c r="N23" s="122" t="s">
        <v>614</v>
      </c>
      <c r="O23" s="97">
        <f>H23*$M23</f>
        <v>64.02</v>
      </c>
      <c r="P23" s="97">
        <f t="shared" ref="P23" si="10">I23*$M23</f>
        <v>151.44</v>
      </c>
      <c r="Q23" s="97"/>
      <c r="R23" s="97"/>
      <c r="S23" s="98">
        <f t="shared" ref="S23:S28" si="11">SUM(O23:R23)</f>
        <v>215.45999999999998</v>
      </c>
    </row>
    <row r="24" spans="1:19" x14ac:dyDescent="0.25">
      <c r="A24" s="90">
        <f t="shared" si="4"/>
        <v>17</v>
      </c>
      <c r="B24" s="181" t="str">
        <f>'T1'!B23:F23</f>
        <v>Kraavide kaevamine ja setetest puhastamine, I-II gr. Pinnas</v>
      </c>
      <c r="C24" s="182"/>
      <c r="D24" s="182"/>
      <c r="E24" s="182"/>
      <c r="F24" s="183"/>
      <c r="G24" s="25" t="s">
        <v>501</v>
      </c>
      <c r="H24" s="120">
        <f>'T1'!H23</f>
        <v>2852.16</v>
      </c>
      <c r="I24" s="120">
        <f>'T1'!I23</f>
        <v>10180.219999999999</v>
      </c>
      <c r="J24" s="107"/>
      <c r="K24" s="107"/>
      <c r="L24" s="96">
        <f t="shared" ref="L24:L28" si="12">SUM(H24:K24)</f>
        <v>13032.38</v>
      </c>
      <c r="M24" s="97">
        <v>0.53</v>
      </c>
      <c r="N24" s="25" t="s">
        <v>615</v>
      </c>
      <c r="O24" s="97">
        <f t="shared" ref="O24:O28" si="13">H24*$M24</f>
        <v>1511.6448</v>
      </c>
      <c r="P24" s="97">
        <f t="shared" ref="P24:P28" si="14">I24*$M24</f>
        <v>5395.5165999999999</v>
      </c>
      <c r="Q24" s="97"/>
      <c r="R24" s="97"/>
      <c r="S24" s="98">
        <f t="shared" si="11"/>
        <v>6907.1614</v>
      </c>
    </row>
    <row r="25" spans="1:19" ht="27" customHeight="1" x14ac:dyDescent="0.25">
      <c r="A25" s="90">
        <f t="shared" si="4"/>
        <v>18</v>
      </c>
      <c r="B25" s="181" t="str">
        <f>'T1'!B24:F24</f>
        <v>Ekspluatatsioonieelne sette eemaldamine ekskavaatoriga (10% põhikaevest)</v>
      </c>
      <c r="C25" s="182"/>
      <c r="D25" s="182"/>
      <c r="E25" s="182"/>
      <c r="F25" s="183"/>
      <c r="G25" s="25" t="s">
        <v>501</v>
      </c>
      <c r="H25" s="120">
        <f>'T1'!H24</f>
        <v>285.21600000000001</v>
      </c>
      <c r="I25" s="120">
        <f>'T1'!I24</f>
        <v>1018.0219999999999</v>
      </c>
      <c r="J25" s="107"/>
      <c r="K25" s="107"/>
      <c r="L25" s="96">
        <f t="shared" si="12"/>
        <v>1303.2379999999998</v>
      </c>
      <c r="M25" s="97">
        <v>0.53</v>
      </c>
      <c r="N25" s="25" t="s">
        <v>615</v>
      </c>
      <c r="O25" s="97">
        <f t="shared" si="13"/>
        <v>151.16448000000003</v>
      </c>
      <c r="P25" s="97">
        <f t="shared" si="14"/>
        <v>539.55165999999997</v>
      </c>
      <c r="Q25" s="97"/>
      <c r="R25" s="97"/>
      <c r="S25" s="98">
        <f t="shared" si="11"/>
        <v>690.71614</v>
      </c>
    </row>
    <row r="26" spans="1:19" ht="27" customHeight="1" x14ac:dyDescent="0.25">
      <c r="A26" s="90">
        <f t="shared" si="4"/>
        <v>19</v>
      </c>
      <c r="B26" s="181" t="str">
        <f>'T1'!B25:F25</f>
        <v>Olemasoleva tee tasandamisjärgne teekraavide täiendav puhastamine varisenud pinnasest</v>
      </c>
      <c r="C26" s="182"/>
      <c r="D26" s="182"/>
      <c r="E26" s="182"/>
      <c r="F26" s="183"/>
      <c r="G26" s="25" t="s">
        <v>501</v>
      </c>
      <c r="H26" s="120">
        <f>'T1'!H25</f>
        <v>28.521600000000003</v>
      </c>
      <c r="I26" s="120">
        <f>'T1'!I25</f>
        <v>101.8022</v>
      </c>
      <c r="J26" s="107"/>
      <c r="K26" s="107"/>
      <c r="L26" s="96">
        <f t="shared" si="12"/>
        <v>130.32380000000001</v>
      </c>
      <c r="M26" s="97">
        <v>0.53</v>
      </c>
      <c r="N26" s="25" t="s">
        <v>615</v>
      </c>
      <c r="O26" s="97">
        <f t="shared" si="13"/>
        <v>15.116448000000002</v>
      </c>
      <c r="P26" s="97">
        <f t="shared" si="14"/>
        <v>53.955166000000006</v>
      </c>
      <c r="Q26" s="97"/>
      <c r="R26" s="97"/>
      <c r="S26" s="98">
        <f t="shared" si="11"/>
        <v>69.071614000000011</v>
      </c>
    </row>
    <row r="27" spans="1:19" x14ac:dyDescent="0.25">
      <c r="A27" s="90">
        <f t="shared" si="4"/>
        <v>20</v>
      </c>
      <c r="B27" s="181" t="str">
        <f>'T1'!B26:F26</f>
        <v>Kaeve laialiajamine (60% kaevest)</v>
      </c>
      <c r="C27" s="182"/>
      <c r="D27" s="182"/>
      <c r="E27" s="182"/>
      <c r="F27" s="183"/>
      <c r="G27" s="25" t="s">
        <v>501</v>
      </c>
      <c r="H27" s="120">
        <f>'T1'!H26</f>
        <v>1009.399032</v>
      </c>
      <c r="I27" s="120">
        <f>'T1'!I26</f>
        <v>4448.9740320000001</v>
      </c>
      <c r="J27" s="107"/>
      <c r="K27" s="107"/>
      <c r="L27" s="96">
        <f t="shared" si="12"/>
        <v>5458.3730640000003</v>
      </c>
      <c r="M27" s="97">
        <v>0.84</v>
      </c>
      <c r="N27" s="25" t="s">
        <v>616</v>
      </c>
      <c r="O27" s="97">
        <f t="shared" si="13"/>
        <v>847.89518687999998</v>
      </c>
      <c r="P27" s="97">
        <f t="shared" si="14"/>
        <v>3737.1381868799999</v>
      </c>
      <c r="Q27" s="97"/>
      <c r="R27" s="97"/>
      <c r="S27" s="98">
        <f t="shared" si="11"/>
        <v>4585.0333737599994</v>
      </c>
    </row>
    <row r="28" spans="1:19" x14ac:dyDescent="0.25">
      <c r="A28" s="90">
        <f t="shared" si="4"/>
        <v>21</v>
      </c>
      <c r="B28" s="181" t="str">
        <f>'T1'!B27:F27</f>
        <v>Pinnase paigaldamine tee muldesse</v>
      </c>
      <c r="C28" s="182"/>
      <c r="D28" s="182"/>
      <c r="E28" s="182"/>
      <c r="F28" s="183"/>
      <c r="G28" s="25" t="s">
        <v>501</v>
      </c>
      <c r="H28" s="120">
        <f>'T1'!H27</f>
        <v>1169.8282800000002</v>
      </c>
      <c r="I28" s="120">
        <f>'T1'!I27</f>
        <v>2769.2764800000004</v>
      </c>
      <c r="J28" s="107"/>
      <c r="K28" s="107"/>
      <c r="L28" s="96">
        <f t="shared" si="12"/>
        <v>3939.1047600000006</v>
      </c>
      <c r="M28" s="25">
        <v>0.46</v>
      </c>
      <c r="N28" s="25" t="s">
        <v>617</v>
      </c>
      <c r="O28" s="97">
        <f t="shared" si="13"/>
        <v>538.12100880000014</v>
      </c>
      <c r="P28" s="97">
        <f t="shared" si="14"/>
        <v>1273.8671808000004</v>
      </c>
      <c r="Q28" s="97"/>
      <c r="R28" s="97"/>
      <c r="S28" s="98">
        <f t="shared" si="11"/>
        <v>1811.9881896000006</v>
      </c>
    </row>
    <row r="29" spans="1:19" x14ac:dyDescent="0.25">
      <c r="A29" s="90">
        <f t="shared" si="4"/>
        <v>22</v>
      </c>
      <c r="B29" s="176" t="s">
        <v>154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98">
        <f>SUM(S23:S28)</f>
        <v>14279.430717360001</v>
      </c>
    </row>
    <row r="30" spans="1:19" x14ac:dyDescent="0.25">
      <c r="A30" s="90">
        <f t="shared" si="4"/>
        <v>23</v>
      </c>
      <c r="B30" s="140" t="str">
        <f>'T1'!B28:L28</f>
        <v>III.Truupide rekonstrueerimine ja ehitamine</v>
      </c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2"/>
    </row>
    <row r="31" spans="1:19" x14ac:dyDescent="0.25">
      <c r="A31" s="90">
        <f t="shared" si="4"/>
        <v>24</v>
      </c>
      <c r="B31" s="181" t="str">
        <f>'T1'!B29:F29</f>
        <v>Truupide mahamärkimine</v>
      </c>
      <c r="C31" s="182"/>
      <c r="D31" s="182"/>
      <c r="E31" s="182"/>
      <c r="F31" s="183"/>
      <c r="G31" s="124" t="str">
        <f>'T1'!G29</f>
        <v>tk</v>
      </c>
      <c r="H31" s="119">
        <f>'T1'!H29</f>
        <v>11</v>
      </c>
      <c r="I31" s="119">
        <f>'T1'!I29</f>
        <v>25</v>
      </c>
      <c r="J31" s="119"/>
      <c r="K31" s="119">
        <f>'T1'!K29</f>
        <v>1</v>
      </c>
      <c r="L31" s="96">
        <f>SUM(H31:K31)</f>
        <v>37</v>
      </c>
      <c r="M31" s="25">
        <v>23.78</v>
      </c>
      <c r="N31" s="25" t="s">
        <v>637</v>
      </c>
      <c r="O31" s="97">
        <f>H31*$M31</f>
        <v>261.58000000000004</v>
      </c>
      <c r="P31" s="97">
        <f t="shared" ref="P31:R31" si="15">I31*$M31</f>
        <v>594.5</v>
      </c>
      <c r="Q31" s="97"/>
      <c r="R31" s="97">
        <f t="shared" si="15"/>
        <v>23.78</v>
      </c>
      <c r="S31" s="98">
        <f t="shared" ref="S31:S44" si="16">SUM(O31:R31)</f>
        <v>879.86</v>
      </c>
    </row>
    <row r="32" spans="1:19" ht="27.75" customHeight="1" x14ac:dyDescent="0.25">
      <c r="A32" s="90">
        <f t="shared" si="4"/>
        <v>25</v>
      </c>
      <c r="B32" s="181" t="str">
        <f>'T1'!B30:F30</f>
        <v>Di=40 cm plasttruubi torustiku, tüüp 40PT, ehitamine (profileeritud plasttoru, SN8)</v>
      </c>
      <c r="C32" s="182"/>
      <c r="D32" s="182"/>
      <c r="E32" s="182"/>
      <c r="F32" s="183"/>
      <c r="G32" s="124" t="str">
        <f>'T1'!G30</f>
        <v>m</v>
      </c>
      <c r="H32" s="119">
        <f>'T1'!H30</f>
        <v>89</v>
      </c>
      <c r="I32" s="119">
        <f>'T1'!I30</f>
        <v>130</v>
      </c>
      <c r="J32" s="107"/>
      <c r="K32" s="119">
        <f>'T1'!K30</f>
        <v>11</v>
      </c>
      <c r="L32" s="96">
        <f t="shared" ref="L32:L44" si="17">SUM(H32:K32)</f>
        <v>230</v>
      </c>
      <c r="M32" s="97">
        <v>41.8</v>
      </c>
      <c r="N32" s="25" t="s">
        <v>638</v>
      </c>
      <c r="O32" s="97">
        <f t="shared" ref="O32:O44" si="18">H32*$M32</f>
        <v>3720.2</v>
      </c>
      <c r="P32" s="97">
        <f t="shared" ref="P32:P44" si="19">I32*$M32</f>
        <v>5434</v>
      </c>
      <c r="Q32" s="97"/>
      <c r="R32" s="97">
        <f t="shared" ref="R32:R44" si="20">K32*$M32</f>
        <v>459.79999999999995</v>
      </c>
      <c r="S32" s="98">
        <f t="shared" si="16"/>
        <v>9614</v>
      </c>
    </row>
    <row r="33" spans="1:19" ht="27" customHeight="1" x14ac:dyDescent="0.25">
      <c r="A33" s="90">
        <f t="shared" si="4"/>
        <v>26</v>
      </c>
      <c r="B33" s="181" t="str">
        <f>'T1'!B31:F31</f>
        <v>Di=50 cm plasttruubi torustiku, tüüp 50PT, ehitamine (profileeritud plasttoru, SN8)</v>
      </c>
      <c r="C33" s="182"/>
      <c r="D33" s="182"/>
      <c r="E33" s="182"/>
      <c r="F33" s="183"/>
      <c r="G33" s="124" t="str">
        <f>'T1'!G31</f>
        <v>m</v>
      </c>
      <c r="H33" s="119">
        <f>'T1'!H31</f>
        <v>31</v>
      </c>
      <c r="I33" s="119">
        <f>'T1'!I31</f>
        <v>63</v>
      </c>
      <c r="J33" s="107"/>
      <c r="K33" s="119"/>
      <c r="L33" s="96">
        <f t="shared" si="17"/>
        <v>94</v>
      </c>
      <c r="M33" s="25">
        <v>52.22</v>
      </c>
      <c r="N33" s="25" t="s">
        <v>639</v>
      </c>
      <c r="O33" s="97">
        <f t="shared" si="18"/>
        <v>1618.82</v>
      </c>
      <c r="P33" s="97">
        <f t="shared" si="19"/>
        <v>3289.86</v>
      </c>
      <c r="Q33" s="97"/>
      <c r="R33" s="97"/>
      <c r="S33" s="98">
        <f t="shared" si="16"/>
        <v>4908.68</v>
      </c>
    </row>
    <row r="34" spans="1:19" ht="30" customHeight="1" x14ac:dyDescent="0.25">
      <c r="A34" s="90">
        <f t="shared" si="4"/>
        <v>27</v>
      </c>
      <c r="B34" s="181" t="str">
        <f>'T1'!B32:F32</f>
        <v>Di=60 cm plasttruubi torustiku, tüüp 60PT, ehitamine (profileeritud plasttoru, SN8)</v>
      </c>
      <c r="C34" s="182"/>
      <c r="D34" s="182"/>
      <c r="E34" s="182"/>
      <c r="F34" s="183"/>
      <c r="G34" s="124" t="str">
        <f>'T1'!G32</f>
        <v>m</v>
      </c>
      <c r="H34" s="119">
        <f>'T1'!H32</f>
        <v>10</v>
      </c>
      <c r="I34" s="119">
        <f>'T1'!I32</f>
        <v>58</v>
      </c>
      <c r="J34" s="107"/>
      <c r="K34" s="119"/>
      <c r="L34" s="96">
        <f t="shared" si="17"/>
        <v>68</v>
      </c>
      <c r="M34" s="25">
        <v>77.650000000000006</v>
      </c>
      <c r="N34" s="25" t="s">
        <v>640</v>
      </c>
      <c r="O34" s="97">
        <f t="shared" si="18"/>
        <v>776.5</v>
      </c>
      <c r="P34" s="97">
        <f t="shared" si="19"/>
        <v>4503.7000000000007</v>
      </c>
      <c r="Q34" s="97"/>
      <c r="R34" s="97"/>
      <c r="S34" s="98">
        <f>SUM(O34:R34)</f>
        <v>5280.2000000000007</v>
      </c>
    </row>
    <row r="35" spans="1:19" ht="27.75" customHeight="1" x14ac:dyDescent="0.25">
      <c r="A35" s="90">
        <f t="shared" si="4"/>
        <v>28</v>
      </c>
      <c r="B35" s="181" t="str">
        <f>'T1'!B33:F33</f>
        <v>Di=100 cm plasttruubi torustiku, tüüp 100PT, ehitamine (profileeritud plasttoru, SN8)</v>
      </c>
      <c r="C35" s="182"/>
      <c r="D35" s="182"/>
      <c r="E35" s="182"/>
      <c r="F35" s="183"/>
      <c r="G35" s="124" t="str">
        <f>'T1'!G33</f>
        <v>m</v>
      </c>
      <c r="H35" s="119"/>
      <c r="I35" s="119">
        <f>'T1'!I33</f>
        <v>14</v>
      </c>
      <c r="J35" s="107"/>
      <c r="K35" s="119"/>
      <c r="L35" s="96">
        <f t="shared" si="17"/>
        <v>14</v>
      </c>
      <c r="M35" s="425">
        <v>239.03</v>
      </c>
      <c r="N35" s="97" t="s">
        <v>653</v>
      </c>
      <c r="O35" s="97"/>
      <c r="P35" s="97">
        <f t="shared" si="19"/>
        <v>3346.42</v>
      </c>
      <c r="Q35" s="97"/>
      <c r="R35" s="97"/>
      <c r="S35" s="98">
        <f t="shared" si="16"/>
        <v>3346.42</v>
      </c>
    </row>
    <row r="36" spans="1:19" ht="28.5" customHeight="1" x14ac:dyDescent="0.25">
      <c r="A36" s="90">
        <f t="shared" si="4"/>
        <v>29</v>
      </c>
      <c r="B36" s="181" t="str">
        <f>'T1'!B34:F34</f>
        <v xml:space="preserve">Ø 40 cm plasttruubi mattotsaku kivikindlustusega ehitamine (tüüp MAOK) </v>
      </c>
      <c r="C36" s="182"/>
      <c r="D36" s="182"/>
      <c r="E36" s="182"/>
      <c r="F36" s="183"/>
      <c r="G36" s="124" t="str">
        <f>'T1'!G34</f>
        <v>2 otsakut</v>
      </c>
      <c r="H36" s="119">
        <f>'T1'!H34</f>
        <v>8</v>
      </c>
      <c r="I36" s="119">
        <f>'T1'!I34</f>
        <v>13</v>
      </c>
      <c r="J36" s="107"/>
      <c r="K36" s="119">
        <f>'T1'!K34</f>
        <v>1</v>
      </c>
      <c r="L36" s="96">
        <f t="shared" si="17"/>
        <v>22</v>
      </c>
      <c r="M36" s="97">
        <v>81.69</v>
      </c>
      <c r="N36" s="25" t="s">
        <v>641</v>
      </c>
      <c r="O36" s="97">
        <f t="shared" si="18"/>
        <v>653.52</v>
      </c>
      <c r="P36" s="97">
        <f t="shared" si="19"/>
        <v>1061.97</v>
      </c>
      <c r="Q36" s="97"/>
      <c r="R36" s="97">
        <f t="shared" si="20"/>
        <v>81.69</v>
      </c>
      <c r="S36" s="98">
        <f t="shared" si="16"/>
        <v>1797.18</v>
      </c>
    </row>
    <row r="37" spans="1:19" ht="30.75" customHeight="1" x14ac:dyDescent="0.25">
      <c r="A37" s="90">
        <f t="shared" si="4"/>
        <v>30</v>
      </c>
      <c r="B37" s="181" t="str">
        <f>'T1'!B35:F35</f>
        <v xml:space="preserve">Ø 50 cm plasttruubi mattotsaku kivikindlustusega ehitamine (tüüp MAOK) </v>
      </c>
      <c r="C37" s="182"/>
      <c r="D37" s="182"/>
      <c r="E37" s="182"/>
      <c r="F37" s="183"/>
      <c r="G37" s="124" t="str">
        <f>'T1'!G35</f>
        <v>2 otsakut</v>
      </c>
      <c r="H37" s="119">
        <f>'T1'!H35</f>
        <v>2</v>
      </c>
      <c r="I37" s="119">
        <f>'T1'!I35</f>
        <v>6</v>
      </c>
      <c r="J37" s="107"/>
      <c r="K37" s="119"/>
      <c r="L37" s="96">
        <f t="shared" si="17"/>
        <v>8</v>
      </c>
      <c r="M37" s="97">
        <v>183.43</v>
      </c>
      <c r="N37" s="25" t="s">
        <v>642</v>
      </c>
      <c r="O37" s="97">
        <f t="shared" si="18"/>
        <v>366.86</v>
      </c>
      <c r="P37" s="97">
        <f t="shared" si="19"/>
        <v>1100.58</v>
      </c>
      <c r="Q37" s="97"/>
      <c r="R37" s="97"/>
      <c r="S37" s="98">
        <f t="shared" si="16"/>
        <v>1467.44</v>
      </c>
    </row>
    <row r="38" spans="1:19" ht="25.5" customHeight="1" x14ac:dyDescent="0.25">
      <c r="A38" s="90">
        <f t="shared" si="4"/>
        <v>31</v>
      </c>
      <c r="B38" s="181" t="str">
        <f>'T1'!B36:F36</f>
        <v xml:space="preserve">Ø 60 cm plasttruubi mattotsaku kivikindlustusega ehitamine (tüüp MAOK) </v>
      </c>
      <c r="C38" s="182"/>
      <c r="D38" s="182"/>
      <c r="E38" s="182"/>
      <c r="F38" s="183"/>
      <c r="G38" s="124" t="str">
        <f>'T1'!G36</f>
        <v>2 otsakut</v>
      </c>
      <c r="H38" s="119">
        <f>'T1'!H36</f>
        <v>1</v>
      </c>
      <c r="I38" s="119">
        <f>'T1'!I36</f>
        <v>5</v>
      </c>
      <c r="J38" s="107"/>
      <c r="K38" s="119"/>
      <c r="L38" s="96">
        <f t="shared" si="17"/>
        <v>6</v>
      </c>
      <c r="M38" s="97">
        <v>183.43</v>
      </c>
      <c r="N38" s="25" t="s">
        <v>642</v>
      </c>
      <c r="O38" s="97">
        <f t="shared" si="18"/>
        <v>183.43</v>
      </c>
      <c r="P38" s="97">
        <f t="shared" si="19"/>
        <v>917.15000000000009</v>
      </c>
      <c r="Q38" s="97"/>
      <c r="R38" s="97"/>
      <c r="S38" s="98">
        <f t="shared" si="16"/>
        <v>1100.5800000000002</v>
      </c>
    </row>
    <row r="39" spans="1:19" ht="30" customHeight="1" x14ac:dyDescent="0.25">
      <c r="A39" s="90">
        <f t="shared" si="4"/>
        <v>32</v>
      </c>
      <c r="B39" s="181" t="str">
        <f>'T1'!B37:F37</f>
        <v xml:space="preserve">Ø 100 cm plasttruubi kivikindlustusega ehitamine (tüüp KOK) </v>
      </c>
      <c r="C39" s="182"/>
      <c r="D39" s="182"/>
      <c r="E39" s="182"/>
      <c r="F39" s="183"/>
      <c r="G39" s="124" t="str">
        <f>'T1'!G37</f>
        <v>2 otsakut</v>
      </c>
      <c r="H39" s="119"/>
      <c r="I39" s="119">
        <f>'T1'!I37</f>
        <v>1</v>
      </c>
      <c r="J39" s="107"/>
      <c r="K39" s="119"/>
      <c r="L39" s="96">
        <f t="shared" si="17"/>
        <v>1</v>
      </c>
      <c r="M39" s="102">
        <v>481.05</v>
      </c>
      <c r="N39" s="97" t="s">
        <v>654</v>
      </c>
      <c r="O39" s="97"/>
      <c r="P39" s="97">
        <f t="shared" si="19"/>
        <v>481.05</v>
      </c>
      <c r="Q39" s="97"/>
      <c r="R39" s="97"/>
      <c r="S39" s="98">
        <f>SUM(O39:R39)</f>
        <v>481.05</v>
      </c>
    </row>
    <row r="40" spans="1:19" x14ac:dyDescent="0.25">
      <c r="A40" s="90">
        <f t="shared" si="4"/>
        <v>33</v>
      </c>
      <c r="B40" s="181" t="str">
        <f>'T1'!B38:F38</f>
        <v>Veejuhtme täide mineraalpinnasega</v>
      </c>
      <c r="C40" s="182"/>
      <c r="D40" s="182"/>
      <c r="E40" s="182"/>
      <c r="F40" s="183"/>
      <c r="G40" s="25" t="s">
        <v>501</v>
      </c>
      <c r="H40" s="119">
        <f>'T1'!H38</f>
        <v>133.5</v>
      </c>
      <c r="I40" s="119">
        <f>'T1'!I38</f>
        <v>232.5</v>
      </c>
      <c r="J40" s="107"/>
      <c r="K40" s="119"/>
      <c r="L40" s="96">
        <f t="shared" si="17"/>
        <v>366</v>
      </c>
      <c r="M40" s="97">
        <v>0.53</v>
      </c>
      <c r="N40" s="25" t="s">
        <v>615</v>
      </c>
      <c r="O40" s="97">
        <f t="shared" si="18"/>
        <v>70.75500000000001</v>
      </c>
      <c r="P40" s="97">
        <f t="shared" si="19"/>
        <v>123.22500000000001</v>
      </c>
      <c r="Q40" s="97"/>
      <c r="R40" s="97">
        <f t="shared" si="20"/>
        <v>0</v>
      </c>
      <c r="S40" s="98">
        <f t="shared" si="16"/>
        <v>193.98000000000002</v>
      </c>
    </row>
    <row r="41" spans="1:19" x14ac:dyDescent="0.25">
      <c r="A41" s="90">
        <f t="shared" si="4"/>
        <v>34</v>
      </c>
      <c r="B41" s="181" t="str">
        <f>'T1'!B39:F39</f>
        <v>Tähispostid truubile</v>
      </c>
      <c r="C41" s="182"/>
      <c r="D41" s="182"/>
      <c r="E41" s="182"/>
      <c r="F41" s="183"/>
      <c r="G41" s="124" t="str">
        <f>'T1'!G39</f>
        <v>tk</v>
      </c>
      <c r="H41" s="119">
        <f>'T1'!H39</f>
        <v>6</v>
      </c>
      <c r="I41" s="119">
        <f>'T1'!I39</f>
        <v>8</v>
      </c>
      <c r="J41" s="107"/>
      <c r="K41" s="119">
        <f>'T1'!K39</f>
        <v>2</v>
      </c>
      <c r="L41" s="96">
        <f t="shared" si="17"/>
        <v>16</v>
      </c>
      <c r="M41" s="97">
        <v>15</v>
      </c>
      <c r="N41" s="25" t="s">
        <v>532</v>
      </c>
      <c r="O41" s="97">
        <f t="shared" si="18"/>
        <v>90</v>
      </c>
      <c r="P41" s="97">
        <f t="shared" si="19"/>
        <v>120</v>
      </c>
      <c r="Q41" s="97"/>
      <c r="R41" s="97">
        <f t="shared" si="20"/>
        <v>30</v>
      </c>
      <c r="S41" s="98">
        <f t="shared" si="16"/>
        <v>240</v>
      </c>
    </row>
    <row r="42" spans="1:19" x14ac:dyDescent="0.25">
      <c r="A42" s="90">
        <f t="shared" si="4"/>
        <v>35</v>
      </c>
      <c r="B42" s="181" t="str">
        <f>'T1'!B40:F40</f>
        <v>Truubi otsakute lammutamine ja utiliseerimine</v>
      </c>
      <c r="C42" s="182"/>
      <c r="D42" s="182"/>
      <c r="E42" s="182"/>
      <c r="F42" s="183"/>
      <c r="G42" s="25" t="s">
        <v>501</v>
      </c>
      <c r="H42" s="119">
        <f>'T1'!H40</f>
        <v>4</v>
      </c>
      <c r="I42" s="119">
        <f>'T1'!I40</f>
        <v>8.1000000000000014</v>
      </c>
      <c r="J42" s="107"/>
      <c r="K42" s="119"/>
      <c r="L42" s="96">
        <f t="shared" si="17"/>
        <v>12.100000000000001</v>
      </c>
      <c r="M42" s="25">
        <v>172.57</v>
      </c>
      <c r="N42" s="25" t="s">
        <v>643</v>
      </c>
      <c r="O42" s="97">
        <f t="shared" si="18"/>
        <v>690.28</v>
      </c>
      <c r="P42" s="97">
        <f t="shared" si="19"/>
        <v>1397.8170000000002</v>
      </c>
      <c r="Q42" s="97"/>
      <c r="R42" s="97">
        <f t="shared" si="20"/>
        <v>0</v>
      </c>
      <c r="S42" s="98">
        <f t="shared" si="16"/>
        <v>2088.0970000000002</v>
      </c>
    </row>
    <row r="43" spans="1:19" x14ac:dyDescent="0.25">
      <c r="A43" s="90">
        <f t="shared" si="4"/>
        <v>36</v>
      </c>
      <c r="B43" s="181" t="str">
        <f>'T1'!B41:F41</f>
        <v>Täiendav kaeve truupide ehitamisel</v>
      </c>
      <c r="C43" s="182"/>
      <c r="D43" s="182"/>
      <c r="E43" s="182"/>
      <c r="F43" s="183"/>
      <c r="G43" s="25" t="s">
        <v>501</v>
      </c>
      <c r="H43" s="119">
        <f>'T1'!H41</f>
        <v>61.5</v>
      </c>
      <c r="I43" s="119">
        <f>'T1'!I41</f>
        <v>192</v>
      </c>
      <c r="J43" s="107"/>
      <c r="K43" s="119">
        <f>'T1'!K41</f>
        <v>16.5</v>
      </c>
      <c r="L43" s="96">
        <f t="shared" si="17"/>
        <v>270</v>
      </c>
      <c r="M43" s="97">
        <v>0.53</v>
      </c>
      <c r="N43" s="25" t="s">
        <v>615</v>
      </c>
      <c r="O43" s="97">
        <f t="shared" si="18"/>
        <v>32.594999999999999</v>
      </c>
      <c r="P43" s="97">
        <f t="shared" si="19"/>
        <v>101.76</v>
      </c>
      <c r="Q43" s="97"/>
      <c r="R43" s="97">
        <f t="shared" si="20"/>
        <v>8.745000000000001</v>
      </c>
      <c r="S43" s="98">
        <f t="shared" si="16"/>
        <v>143.10000000000002</v>
      </c>
    </row>
    <row r="44" spans="1:19" ht="27.75" customHeight="1" x14ac:dyDescent="0.25">
      <c r="A44" s="90">
        <f t="shared" si="4"/>
        <v>37</v>
      </c>
      <c r="B44" s="181" t="str">
        <f>'T1'!B42:F42</f>
        <v>Ø 50…80 cm truubitoru (r/b, p) väljatõstmine ja utiliseerimine</v>
      </c>
      <c r="C44" s="182"/>
      <c r="D44" s="182"/>
      <c r="E44" s="182"/>
      <c r="F44" s="183"/>
      <c r="G44" s="124" t="str">
        <f>'T1'!G42</f>
        <v>m</v>
      </c>
      <c r="H44" s="119">
        <f>'T1'!H42</f>
        <v>32</v>
      </c>
      <c r="I44" s="119">
        <f>'T1'!I42</f>
        <v>90</v>
      </c>
      <c r="J44" s="107"/>
      <c r="K44" s="119">
        <f>'T1'!K42</f>
        <v>7</v>
      </c>
      <c r="L44" s="96">
        <f t="shared" si="17"/>
        <v>129</v>
      </c>
      <c r="M44" s="97">
        <v>21.22</v>
      </c>
      <c r="N44" s="25" t="s">
        <v>644</v>
      </c>
      <c r="O44" s="97">
        <f t="shared" si="18"/>
        <v>679.04</v>
      </c>
      <c r="P44" s="97">
        <f t="shared" si="19"/>
        <v>1909.8</v>
      </c>
      <c r="Q44" s="97"/>
      <c r="R44" s="97">
        <f t="shared" si="20"/>
        <v>148.54</v>
      </c>
      <c r="S44" s="98">
        <f t="shared" si="16"/>
        <v>2737.38</v>
      </c>
    </row>
    <row r="45" spans="1:19" ht="15" customHeight="1" x14ac:dyDescent="0.25">
      <c r="A45" s="90">
        <f t="shared" si="4"/>
        <v>38</v>
      </c>
      <c r="B45" s="176" t="s">
        <v>154</v>
      </c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98">
        <f>SUM(S31:S44)</f>
        <v>34277.967000000004</v>
      </c>
    </row>
    <row r="46" spans="1:19" ht="15" customHeight="1" x14ac:dyDescent="0.25">
      <c r="A46" s="90">
        <f t="shared" si="4"/>
        <v>39</v>
      </c>
      <c r="B46" s="177" t="str">
        <f>'T1'!B43</f>
        <v>IV.Mullatööd / teemulde kujundamine</v>
      </c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</row>
    <row r="47" spans="1:19" ht="27" customHeight="1" x14ac:dyDescent="0.25">
      <c r="A47" s="90">
        <f t="shared" si="4"/>
        <v>40</v>
      </c>
      <c r="B47" s="179" t="str">
        <f>'T1'!B44</f>
        <v>Olemasoleva teemulde töötlemine profiili koos teekraede likvideerimisega ning mulde tihendamisega</v>
      </c>
      <c r="C47" s="179"/>
      <c r="D47" s="179"/>
      <c r="E47" s="179"/>
      <c r="F47" s="179"/>
      <c r="G47" s="25" t="s">
        <v>503</v>
      </c>
      <c r="H47" s="100">
        <f>'T1'!H44</f>
        <v>5107.5</v>
      </c>
      <c r="I47" s="100">
        <f>'T1'!I44</f>
        <v>22954.5</v>
      </c>
      <c r="J47" s="100">
        <f>'T1'!J44</f>
        <v>5400</v>
      </c>
      <c r="K47" s="100">
        <f>'T1'!K44</f>
        <v>2268</v>
      </c>
      <c r="L47" s="96">
        <f>SUM(H47:K47)</f>
        <v>35730</v>
      </c>
      <c r="M47" s="97">
        <v>0.26</v>
      </c>
      <c r="N47" s="25" t="s">
        <v>533</v>
      </c>
      <c r="O47" s="97">
        <f>H47*$M47</f>
        <v>1327.95</v>
      </c>
      <c r="P47" s="97">
        <f t="shared" ref="P47:R47" si="21">I47*$M47</f>
        <v>5968.17</v>
      </c>
      <c r="Q47" s="97">
        <f t="shared" si="21"/>
        <v>1404</v>
      </c>
      <c r="R47" s="97">
        <f t="shared" si="21"/>
        <v>589.68000000000006</v>
      </c>
      <c r="S47" s="98">
        <f>SUM(O47:R47)</f>
        <v>9289.7999999999993</v>
      </c>
    </row>
    <row r="48" spans="1:19" ht="30.75" customHeight="1" x14ac:dyDescent="0.25">
      <c r="A48" s="90">
        <f t="shared" si="4"/>
        <v>41</v>
      </c>
      <c r="B48" s="179" t="str">
        <f>'T1'!B45</f>
        <v>Teemulde ehitamine teekraavide pinnasest koos tihendamisega</v>
      </c>
      <c r="C48" s="179"/>
      <c r="D48" s="179"/>
      <c r="E48" s="179"/>
      <c r="F48" s="179"/>
      <c r="G48" s="25" t="s">
        <v>501</v>
      </c>
      <c r="H48" s="100">
        <f>'T1'!H45</f>
        <v>726.72</v>
      </c>
      <c r="I48" s="100">
        <f>'T1'!I45</f>
        <v>2769.46</v>
      </c>
      <c r="J48" s="100"/>
      <c r="K48" s="100"/>
      <c r="L48" s="96">
        <f>SUM(H48:K48)</f>
        <v>3496.1800000000003</v>
      </c>
      <c r="M48" s="101">
        <v>3.1</v>
      </c>
      <c r="N48" s="102" t="s">
        <v>534</v>
      </c>
      <c r="O48" s="97">
        <f>H48*$M48</f>
        <v>2252.8320000000003</v>
      </c>
      <c r="P48" s="97">
        <f t="shared" ref="P48" si="22">I48*$M48</f>
        <v>8585.3260000000009</v>
      </c>
      <c r="Q48" s="97"/>
      <c r="R48" s="97"/>
      <c r="S48" s="98">
        <f>SUM(O48:R48)</f>
        <v>10838.158000000001</v>
      </c>
    </row>
    <row r="49" spans="1:19" x14ac:dyDescent="0.25">
      <c r="A49" s="90">
        <f t="shared" si="4"/>
        <v>42</v>
      </c>
      <c r="B49" s="176" t="s">
        <v>154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99">
        <f>SUM(S47:S48)</f>
        <v>20127.957999999999</v>
      </c>
    </row>
    <row r="50" spans="1:19" x14ac:dyDescent="0.25">
      <c r="A50" s="90">
        <f t="shared" si="4"/>
        <v>43</v>
      </c>
      <c r="B50" s="177" t="str">
        <f>'T1'!B47</f>
        <v>V.Kattekonstruktsiooni rajamine</v>
      </c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</row>
    <row r="51" spans="1:19" ht="38.25" customHeight="1" x14ac:dyDescent="0.25">
      <c r="A51" s="90">
        <f t="shared" si="4"/>
        <v>44</v>
      </c>
      <c r="B51" s="179" t="str">
        <f>'T1'!B48</f>
        <v>Geotekstiili 4. profiil (NGS 4), mitte kootud kangas, laisuega 5,0-7.5 m, paigaldamine tihendatud ja profileeritud muldkehale</v>
      </c>
      <c r="C51" s="179"/>
      <c r="D51" s="179"/>
      <c r="E51" s="179"/>
      <c r="F51" s="179"/>
      <c r="G51" s="25" t="s">
        <v>503</v>
      </c>
      <c r="H51" s="100">
        <f>'T1'!H48</f>
        <v>5605</v>
      </c>
      <c r="I51" s="100">
        <f>'T1'!I48</f>
        <v>26086</v>
      </c>
      <c r="J51" s="100">
        <f>'T1'!J48</f>
        <v>6142</v>
      </c>
      <c r="K51" s="100">
        <f>'T1'!K48</f>
        <v>2470</v>
      </c>
      <c r="L51" s="96">
        <f>SUM(H51:K51)</f>
        <v>40303</v>
      </c>
      <c r="M51" s="25">
        <v>1.03</v>
      </c>
      <c r="N51" s="25" t="s">
        <v>535</v>
      </c>
      <c r="O51" s="97">
        <f>H51*$M51</f>
        <v>5773.1500000000005</v>
      </c>
      <c r="P51" s="97">
        <f t="shared" ref="P51:R51" si="23">I51*$M51</f>
        <v>26868.58</v>
      </c>
      <c r="Q51" s="97">
        <f t="shared" si="23"/>
        <v>6326.26</v>
      </c>
      <c r="R51" s="97">
        <f t="shared" si="23"/>
        <v>2544.1</v>
      </c>
      <c r="S51" s="98">
        <f>SUM(O51:R51)</f>
        <v>41512.090000000004</v>
      </c>
    </row>
    <row r="52" spans="1:19" ht="39" customHeight="1" x14ac:dyDescent="0.25">
      <c r="A52" s="90">
        <f t="shared" si="4"/>
        <v>45</v>
      </c>
      <c r="B52" s="179" t="str">
        <f>'T1'!B49</f>
        <v>Kruusast teealuse ehitamine koos tihendamisega. Kruus fr 0/63 mm. Pos 4, H=20 cm. sh kruus fr 0/63 mm (Pos 4), geomeetriline maht koos hanke, pealelaadimise ja veoga</v>
      </c>
      <c r="C52" s="179"/>
      <c r="D52" s="179"/>
      <c r="E52" s="179"/>
      <c r="F52" s="179"/>
      <c r="G52" s="25" t="str">
        <f>'T1'!G49</f>
        <v>m</v>
      </c>
      <c r="H52" s="100">
        <f>'T1'!H49</f>
        <v>527.35</v>
      </c>
      <c r="I52" s="100">
        <f>'T1'!I49</f>
        <v>2440.8799999999992</v>
      </c>
      <c r="J52" s="100">
        <f>'T1'!J49</f>
        <v>577.18000000000006</v>
      </c>
      <c r="K52" s="100">
        <f>'T1'!K49</f>
        <v>232.17999999999998</v>
      </c>
      <c r="L52" s="96">
        <f>SUM(H52:K52)</f>
        <v>3777.5899999999988</v>
      </c>
      <c r="M52" s="25">
        <v>15</v>
      </c>
      <c r="N52" s="25" t="s">
        <v>532</v>
      </c>
      <c r="O52" s="97">
        <f t="shared" ref="O52:O53" si="24">H52*$M52</f>
        <v>7910.25</v>
      </c>
      <c r="P52" s="97">
        <f t="shared" ref="P52:P53" si="25">I52*$M52</f>
        <v>36613.19999999999</v>
      </c>
      <c r="Q52" s="97">
        <f t="shared" ref="Q52:Q53" si="26">J52*$M52</f>
        <v>8657.7000000000007</v>
      </c>
      <c r="R52" s="97">
        <f t="shared" ref="R52:R53" si="27">K52*$M52</f>
        <v>3482.7</v>
      </c>
      <c r="S52" s="98">
        <f>SUM(O52:R52)</f>
        <v>56663.849999999991</v>
      </c>
    </row>
    <row r="53" spans="1:19" ht="41.25" customHeight="1" x14ac:dyDescent="0.25">
      <c r="A53" s="90">
        <f t="shared" si="4"/>
        <v>46</v>
      </c>
      <c r="B53" s="179" t="str">
        <f>'T1'!B50</f>
        <v>Kruusast teekatte ehitamine koos tihendamisega. Kruus fr 0/32 mm. Pos 6, H=10 cm. sh kruus fr 0/32 mm (Pos 6), geomeetriline maht koos hanke, pealelaadimise ja veoga</v>
      </c>
      <c r="C53" s="179"/>
      <c r="D53" s="179"/>
      <c r="E53" s="179"/>
      <c r="F53" s="179"/>
      <c r="G53" s="25" t="str">
        <f>'T1'!G50</f>
        <v>m</v>
      </c>
      <c r="H53" s="100">
        <f>'T1'!H50</f>
        <v>1154.1500000000001</v>
      </c>
      <c r="I53" s="100">
        <f>'T1'!I50</f>
        <v>5334.4100000000008</v>
      </c>
      <c r="J53" s="100">
        <f>'T1'!J50</f>
        <v>1258.1999999999998</v>
      </c>
      <c r="K53" s="100">
        <f>'T1'!K50</f>
        <v>508.82</v>
      </c>
      <c r="L53" s="96">
        <f>SUM(H53:K53)</f>
        <v>8255.5800000000017</v>
      </c>
      <c r="M53" s="25">
        <v>15</v>
      </c>
      <c r="N53" s="25" t="s">
        <v>532</v>
      </c>
      <c r="O53" s="97">
        <f t="shared" si="24"/>
        <v>17312.25</v>
      </c>
      <c r="P53" s="97">
        <f t="shared" si="25"/>
        <v>80016.150000000009</v>
      </c>
      <c r="Q53" s="97">
        <f t="shared" si="26"/>
        <v>18872.999999999996</v>
      </c>
      <c r="R53" s="97">
        <f t="shared" si="27"/>
        <v>7632.3</v>
      </c>
      <c r="S53" s="98">
        <f>SUM(O53:R53)</f>
        <v>123833.70000000001</v>
      </c>
    </row>
    <row r="54" spans="1:19" x14ac:dyDescent="0.25">
      <c r="A54" s="90">
        <f t="shared" si="4"/>
        <v>47</v>
      </c>
      <c r="B54" s="176" t="s">
        <v>154</v>
      </c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99">
        <f>SUM(S51:S53)</f>
        <v>222009.64</v>
      </c>
    </row>
    <row r="55" spans="1:19" x14ac:dyDescent="0.25">
      <c r="A55" s="90">
        <f t="shared" si="4"/>
        <v>48</v>
      </c>
      <c r="B55" s="180" t="str">
        <f>'T1'!B51</f>
        <v>VI.Teede rajatised</v>
      </c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</row>
    <row r="56" spans="1:19" s="105" customFormat="1" ht="33" customHeight="1" x14ac:dyDescent="0.25">
      <c r="A56" s="90">
        <f t="shared" si="4"/>
        <v>49</v>
      </c>
      <c r="B56" s="178" t="str">
        <f>'T1'!B52</f>
        <v>Mahasõidukoht M1 muldkeha ja katendi ehitamine koos tihendamisega  (L=20 m, R=10 m)</v>
      </c>
      <c r="C56" s="178"/>
      <c r="D56" s="178"/>
      <c r="E56" s="178"/>
      <c r="F56" s="178"/>
      <c r="G56" s="89" t="str">
        <f>'T1'!G52</f>
        <v>tk</v>
      </c>
      <c r="H56" s="89"/>
      <c r="I56" s="89">
        <f>'T1'!I52</f>
        <v>1</v>
      </c>
      <c r="J56" s="89"/>
      <c r="K56" s="89"/>
      <c r="L56" s="96">
        <f>SUM(H56:K56)</f>
        <v>1</v>
      </c>
      <c r="M56" s="89"/>
      <c r="N56" s="89"/>
      <c r="O56" s="89"/>
      <c r="P56" s="89"/>
      <c r="Q56" s="89"/>
      <c r="R56" s="89"/>
      <c r="S56" s="89"/>
    </row>
    <row r="57" spans="1:19" s="105" customFormat="1" ht="33" customHeight="1" x14ac:dyDescent="0.25">
      <c r="A57" s="90">
        <f t="shared" si="4"/>
        <v>50</v>
      </c>
      <c r="B57" s="134" t="str">
        <f>'T1'!B53</f>
        <v>Mahasõidukoht M5 muldkeha ehitamine juurdeveetavast pinnasest, H=30 cm</v>
      </c>
      <c r="C57" s="134"/>
      <c r="D57" s="134"/>
      <c r="E57" s="134"/>
      <c r="F57" s="134"/>
      <c r="G57" s="25" t="s">
        <v>501</v>
      </c>
      <c r="H57" s="89"/>
      <c r="I57" s="25">
        <f>'T1'!I53</f>
        <v>42</v>
      </c>
      <c r="J57" s="89"/>
      <c r="K57" s="89"/>
      <c r="L57" s="96">
        <f>SUM(H57:K57)</f>
        <v>42</v>
      </c>
      <c r="M57" s="101">
        <v>3.1</v>
      </c>
      <c r="N57" s="102" t="s">
        <v>534</v>
      </c>
      <c r="O57" s="89"/>
      <c r="P57" s="97">
        <f t="shared" ref="P57:P60" si="28">I57*$M57</f>
        <v>130.20000000000002</v>
      </c>
      <c r="Q57" s="89"/>
      <c r="R57" s="89"/>
      <c r="S57" s="98">
        <f t="shared" ref="S57:S84" si="29">SUM(O57:R57)</f>
        <v>130.20000000000002</v>
      </c>
    </row>
    <row r="58" spans="1:19" ht="39.75" customHeight="1" x14ac:dyDescent="0.25">
      <c r="A58" s="90">
        <f t="shared" si="4"/>
        <v>51</v>
      </c>
      <c r="B58" s="134" t="str">
        <f>'T1'!B54</f>
        <v>Mahasõidukoht M5 geotekstiili 4. profiil (NGS 4), mitte kootud kangas, laiusega 5,0 m, paigaldamine tihendatud ja profileeritud muldkehale</v>
      </c>
      <c r="C58" s="134"/>
      <c r="D58" s="134"/>
      <c r="E58" s="134"/>
      <c r="F58" s="134"/>
      <c r="G58" s="25" t="s">
        <v>503</v>
      </c>
      <c r="H58" s="25"/>
      <c r="I58" s="25">
        <f>'T1'!I54</f>
        <v>150</v>
      </c>
      <c r="J58" s="25"/>
      <c r="K58" s="25"/>
      <c r="L58" s="96">
        <f t="shared" ref="L58:L90" si="30">SUM(H58:K58)</f>
        <v>150</v>
      </c>
      <c r="M58" s="25">
        <v>1.03</v>
      </c>
      <c r="N58" s="25" t="s">
        <v>535</v>
      </c>
      <c r="O58" s="97"/>
      <c r="P58" s="97">
        <f t="shared" si="28"/>
        <v>154.5</v>
      </c>
      <c r="Q58" s="97"/>
      <c r="R58" s="97"/>
      <c r="S58" s="98">
        <f t="shared" si="29"/>
        <v>154.5</v>
      </c>
    </row>
    <row r="59" spans="1:19" ht="29.25" customHeight="1" x14ac:dyDescent="0.25">
      <c r="A59" s="90">
        <f t="shared" si="4"/>
        <v>52</v>
      </c>
      <c r="B59" s="134" t="str">
        <f>'T1'!B55</f>
        <v>Mahasõidukoht M5 kruus fr 0/63 mm (Pos 4), geomeetriline maht koos hanke, pealelaadimise ja veoga, H=20cm</v>
      </c>
      <c r="C59" s="134"/>
      <c r="D59" s="134"/>
      <c r="E59" s="134"/>
      <c r="F59" s="134"/>
      <c r="G59" s="25" t="s">
        <v>501</v>
      </c>
      <c r="H59" s="25"/>
      <c r="I59" s="25">
        <f>'T1'!I55</f>
        <v>31</v>
      </c>
      <c r="J59" s="25"/>
      <c r="K59" s="25"/>
      <c r="L59" s="96">
        <f t="shared" si="30"/>
        <v>31</v>
      </c>
      <c r="M59" s="25">
        <v>15</v>
      </c>
      <c r="N59" s="25" t="s">
        <v>532</v>
      </c>
      <c r="O59" s="97"/>
      <c r="P59" s="97">
        <f t="shared" si="28"/>
        <v>465</v>
      </c>
      <c r="Q59" s="97"/>
      <c r="R59" s="97"/>
      <c r="S59" s="98">
        <f t="shared" si="29"/>
        <v>465</v>
      </c>
    </row>
    <row r="60" spans="1:19" ht="31.5" customHeight="1" x14ac:dyDescent="0.25">
      <c r="A60" s="90">
        <f t="shared" si="4"/>
        <v>53</v>
      </c>
      <c r="B60" s="134" t="str">
        <f>'T1'!B56</f>
        <v>Mahasõidukoht M5 kruus fr 0/32 mm (Pos 6), geomeetriline maht koos hanke, pealelaadimise ja veoga, H=10cm</v>
      </c>
      <c r="C60" s="134"/>
      <c r="D60" s="134"/>
      <c r="E60" s="134"/>
      <c r="F60" s="134"/>
      <c r="G60" s="25" t="s">
        <v>501</v>
      </c>
      <c r="H60" s="25"/>
      <c r="I60" s="25">
        <f>'T1'!I56</f>
        <v>14</v>
      </c>
      <c r="J60" s="25"/>
      <c r="K60" s="25"/>
      <c r="L60" s="96">
        <f t="shared" si="30"/>
        <v>14</v>
      </c>
      <c r="M60" s="25">
        <v>15</v>
      </c>
      <c r="N60" s="25" t="s">
        <v>532</v>
      </c>
      <c r="O60" s="97"/>
      <c r="P60" s="97">
        <f t="shared" si="28"/>
        <v>210</v>
      </c>
      <c r="Q60" s="97"/>
      <c r="R60" s="97"/>
      <c r="S60" s="98">
        <f t="shared" si="29"/>
        <v>210</v>
      </c>
    </row>
    <row r="61" spans="1:19" s="105" customFormat="1" ht="33.75" customHeight="1" x14ac:dyDescent="0.25">
      <c r="A61" s="90">
        <f t="shared" si="4"/>
        <v>54</v>
      </c>
      <c r="B61" s="178" t="str">
        <f>'T1'!B57</f>
        <v>Mahasõidukoht M3 muldkeha ja katendi ehitamine koos tihendamisega  (L=10 m, R=10 m)</v>
      </c>
      <c r="C61" s="178"/>
      <c r="D61" s="178"/>
      <c r="E61" s="178"/>
      <c r="F61" s="178"/>
      <c r="G61" s="89" t="str">
        <f>'T1'!G57</f>
        <v>tk</v>
      </c>
      <c r="H61" s="89">
        <f>'T1'!H57</f>
        <v>6</v>
      </c>
      <c r="I61" s="89">
        <f>'T1'!I57</f>
        <v>20</v>
      </c>
      <c r="J61" s="89">
        <f>'T1'!J57</f>
        <v>4</v>
      </c>
      <c r="K61" s="89">
        <f>'T1'!K57</f>
        <v>1</v>
      </c>
      <c r="L61" s="96">
        <f t="shared" si="30"/>
        <v>31</v>
      </c>
      <c r="M61" s="89"/>
      <c r="N61" s="89"/>
      <c r="O61" s="89"/>
      <c r="P61" s="89"/>
      <c r="Q61" s="89"/>
      <c r="R61" s="89"/>
      <c r="S61" s="98"/>
    </row>
    <row r="62" spans="1:19" ht="28.5" customHeight="1" x14ac:dyDescent="0.25">
      <c r="A62" s="90">
        <f t="shared" si="4"/>
        <v>55</v>
      </c>
      <c r="B62" s="134" t="str">
        <f>'T1'!B58</f>
        <v>Mahasõidukoht M3 muldkeha ehitamine kraavide rajamisel saadud pinnasest, H=30 cm</v>
      </c>
      <c r="C62" s="134"/>
      <c r="D62" s="134"/>
      <c r="E62" s="134"/>
      <c r="F62" s="134"/>
      <c r="G62" s="25" t="s">
        <v>501</v>
      </c>
      <c r="H62" s="25">
        <f>'T1'!H58</f>
        <v>234</v>
      </c>
      <c r="I62" s="25"/>
      <c r="J62" s="25"/>
      <c r="K62" s="25"/>
      <c r="L62" s="96">
        <f t="shared" si="30"/>
        <v>234</v>
      </c>
      <c r="M62" s="101">
        <v>3.1</v>
      </c>
      <c r="N62" s="102" t="s">
        <v>534</v>
      </c>
      <c r="O62" s="97">
        <f>H62*$M62</f>
        <v>725.4</v>
      </c>
      <c r="P62" s="97"/>
      <c r="Q62" s="97"/>
      <c r="R62" s="97"/>
      <c r="S62" s="98">
        <f t="shared" si="29"/>
        <v>725.4</v>
      </c>
    </row>
    <row r="63" spans="1:19" ht="28.5" customHeight="1" x14ac:dyDescent="0.25">
      <c r="A63" s="90">
        <f t="shared" si="4"/>
        <v>56</v>
      </c>
      <c r="B63" s="134" t="str">
        <f>'T1'!B59</f>
        <v>Mahasõidukoht M3 muldkeha ehitamine juurdeveetavast pinnasest, H=30 cm</v>
      </c>
      <c r="C63" s="134"/>
      <c r="D63" s="134"/>
      <c r="E63" s="134"/>
      <c r="F63" s="134"/>
      <c r="G63" s="25" t="s">
        <v>501</v>
      </c>
      <c r="H63" s="25"/>
      <c r="I63" s="25">
        <f>'T1'!I59</f>
        <v>780</v>
      </c>
      <c r="J63" s="25">
        <f>'T1'!J59</f>
        <v>156</v>
      </c>
      <c r="K63" s="25">
        <f>'T1'!K59</f>
        <v>39</v>
      </c>
      <c r="L63" s="96">
        <f t="shared" si="30"/>
        <v>975</v>
      </c>
      <c r="M63" s="101">
        <v>3.1</v>
      </c>
      <c r="N63" s="102" t="s">
        <v>534</v>
      </c>
      <c r="O63" s="97"/>
      <c r="P63" s="97">
        <f t="shared" ref="P63" si="31">I63*$M63</f>
        <v>2418</v>
      </c>
      <c r="Q63" s="97">
        <f t="shared" ref="Q63" si="32">J63*$M63</f>
        <v>483.6</v>
      </c>
      <c r="R63" s="97">
        <f t="shared" ref="R63" si="33">K63*$M63</f>
        <v>120.9</v>
      </c>
      <c r="S63" s="98">
        <f t="shared" si="29"/>
        <v>3022.5</v>
      </c>
    </row>
    <row r="64" spans="1:19" ht="36.75" customHeight="1" x14ac:dyDescent="0.25">
      <c r="A64" s="90">
        <f t="shared" si="4"/>
        <v>57</v>
      </c>
      <c r="B64" s="134" t="str">
        <f>'T1'!B60</f>
        <v>Mahasõidukoht M3 geotekstiili 4. profiil (NGS 4), mitte kootud kangas, laiusega 5,0 m, paigaldamine tihendatud ja profileeritud muldkehale</v>
      </c>
      <c r="C64" s="134"/>
      <c r="D64" s="134"/>
      <c r="E64" s="134"/>
      <c r="F64" s="134"/>
      <c r="G64" s="25" t="s">
        <v>503</v>
      </c>
      <c r="H64" s="25">
        <f>'T1'!H60</f>
        <v>600</v>
      </c>
      <c r="I64" s="25">
        <f>'T1'!I60</f>
        <v>2000</v>
      </c>
      <c r="J64" s="25">
        <f>'T1'!J60</f>
        <v>400</v>
      </c>
      <c r="K64" s="25">
        <f>'T1'!K60</f>
        <v>100</v>
      </c>
      <c r="L64" s="96">
        <f t="shared" si="30"/>
        <v>3100</v>
      </c>
      <c r="M64" s="25">
        <v>1.03</v>
      </c>
      <c r="N64" s="25" t="s">
        <v>535</v>
      </c>
      <c r="O64" s="97">
        <f t="shared" ref="O64:O66" si="34">H64*$M64</f>
        <v>618</v>
      </c>
      <c r="P64" s="97">
        <f t="shared" ref="P64:P66" si="35">I64*$M64</f>
        <v>2060</v>
      </c>
      <c r="Q64" s="97">
        <f t="shared" ref="Q64:Q66" si="36">J64*$M64</f>
        <v>412</v>
      </c>
      <c r="R64" s="97">
        <f t="shared" ref="R64:R65" si="37">K64*$M64</f>
        <v>103</v>
      </c>
      <c r="S64" s="98">
        <f t="shared" si="29"/>
        <v>3193</v>
      </c>
    </row>
    <row r="65" spans="1:19" ht="32.25" customHeight="1" x14ac:dyDescent="0.25">
      <c r="A65" s="90">
        <f t="shared" si="4"/>
        <v>58</v>
      </c>
      <c r="B65" s="134" t="str">
        <f>'T1'!B61</f>
        <v>Mahasõidukoht M3 kruus fr 0/63 mm (Pos 4), geomeetriline maht koos hanke, pealelaadimise ja veoga, H=20cm</v>
      </c>
      <c r="C65" s="134"/>
      <c r="D65" s="134"/>
      <c r="E65" s="134"/>
      <c r="F65" s="134"/>
      <c r="G65" s="25" t="s">
        <v>501</v>
      </c>
      <c r="H65" s="25">
        <f>'T1'!H61</f>
        <v>126</v>
      </c>
      <c r="I65" s="25">
        <f>'T1'!I61</f>
        <v>420</v>
      </c>
      <c r="J65" s="25">
        <f>'T1'!J61</f>
        <v>84</v>
      </c>
      <c r="K65" s="25">
        <f>'T1'!K61</f>
        <v>21</v>
      </c>
      <c r="L65" s="96">
        <f t="shared" si="30"/>
        <v>651</v>
      </c>
      <c r="M65" s="25">
        <v>15</v>
      </c>
      <c r="N65" s="25" t="s">
        <v>532</v>
      </c>
      <c r="O65" s="97">
        <f t="shared" si="34"/>
        <v>1890</v>
      </c>
      <c r="P65" s="97">
        <f t="shared" si="35"/>
        <v>6300</v>
      </c>
      <c r="Q65" s="97">
        <f t="shared" si="36"/>
        <v>1260</v>
      </c>
      <c r="R65" s="97">
        <f t="shared" si="37"/>
        <v>315</v>
      </c>
      <c r="S65" s="98">
        <f t="shared" si="29"/>
        <v>9765</v>
      </c>
    </row>
    <row r="66" spans="1:19" ht="24" customHeight="1" x14ac:dyDescent="0.25">
      <c r="A66" s="90">
        <f>A65+1</f>
        <v>59</v>
      </c>
      <c r="B66" s="134" t="str">
        <f>'T1'!B62</f>
        <v>Mahasõidukoht M3 kruus fr 0/32 mm (Pos 6), geomeetriline maht koos hanke, pealelaadimise ja veoga, H=10cm</v>
      </c>
      <c r="C66" s="134"/>
      <c r="D66" s="134"/>
      <c r="E66" s="134"/>
      <c r="F66" s="134"/>
      <c r="G66" s="25" t="s">
        <v>501</v>
      </c>
      <c r="H66" s="25">
        <f>'T1'!H62</f>
        <v>54</v>
      </c>
      <c r="I66" s="25">
        <f>'T1'!I62</f>
        <v>180</v>
      </c>
      <c r="J66" s="25">
        <f>'T1'!J62</f>
        <v>36</v>
      </c>
      <c r="K66" s="25">
        <f>'T1'!K62</f>
        <v>9</v>
      </c>
      <c r="L66" s="96">
        <f t="shared" si="30"/>
        <v>279</v>
      </c>
      <c r="M66" s="25">
        <v>15</v>
      </c>
      <c r="N66" s="25" t="s">
        <v>532</v>
      </c>
      <c r="O66" s="97">
        <f t="shared" si="34"/>
        <v>810</v>
      </c>
      <c r="P66" s="97">
        <f t="shared" si="35"/>
        <v>2700</v>
      </c>
      <c r="Q66" s="97">
        <f t="shared" si="36"/>
        <v>540</v>
      </c>
      <c r="R66" s="97">
        <f>K66*$M66</f>
        <v>135</v>
      </c>
      <c r="S66" s="98">
        <f t="shared" si="29"/>
        <v>4185</v>
      </c>
    </row>
    <row r="67" spans="1:19" s="105" customFormat="1" ht="35.25" customHeight="1" x14ac:dyDescent="0.25">
      <c r="A67" s="90">
        <f t="shared" si="4"/>
        <v>60</v>
      </c>
      <c r="B67" s="178" t="str">
        <f>'T1'!B63</f>
        <v>Mahasõidukoht R3 muldkeha ja katendi ehitamine koos tihendamisega  (L=5 m, R=5 m)</v>
      </c>
      <c r="C67" s="178"/>
      <c r="D67" s="178"/>
      <c r="E67" s="178"/>
      <c r="F67" s="178"/>
      <c r="G67" s="89" t="str">
        <f>'T1'!G63</f>
        <v>tk</v>
      </c>
      <c r="H67" s="89">
        <f>'T1'!H63</f>
        <v>3</v>
      </c>
      <c r="I67" s="89">
        <f>'T1'!I63</f>
        <v>17</v>
      </c>
      <c r="J67" s="89">
        <f>'T1'!J63</f>
        <v>4</v>
      </c>
      <c r="K67" s="89"/>
      <c r="L67" s="96">
        <f t="shared" si="30"/>
        <v>24</v>
      </c>
      <c r="M67" s="89"/>
      <c r="N67" s="89"/>
      <c r="O67" s="89"/>
      <c r="P67" s="89"/>
      <c r="Q67" s="89"/>
      <c r="R67" s="89"/>
      <c r="S67" s="98"/>
    </row>
    <row r="68" spans="1:19" ht="28.5" customHeight="1" x14ac:dyDescent="0.25">
      <c r="A68" s="90">
        <f t="shared" si="4"/>
        <v>61</v>
      </c>
      <c r="B68" s="134" t="str">
        <f>'T1'!B64</f>
        <v>Mahasõidukoht R3 muldkeha ehitamine kraavide rajamisel saadud pinnasest. H=30 cm</v>
      </c>
      <c r="C68" s="134"/>
      <c r="D68" s="134"/>
      <c r="E68" s="134"/>
      <c r="F68" s="134"/>
      <c r="G68" s="25" t="s">
        <v>501</v>
      </c>
      <c r="H68" s="25">
        <f>'T1'!H64</f>
        <v>60</v>
      </c>
      <c r="I68" s="25"/>
      <c r="J68" s="25"/>
      <c r="K68" s="25"/>
      <c r="L68" s="96">
        <f>SUM(H68:K68)</f>
        <v>60</v>
      </c>
      <c r="M68" s="101">
        <v>3.1</v>
      </c>
      <c r="N68" s="102" t="s">
        <v>534</v>
      </c>
      <c r="O68" s="97">
        <f>H68*$M68</f>
        <v>186</v>
      </c>
      <c r="P68" s="97"/>
      <c r="Q68" s="97"/>
      <c r="R68" s="97"/>
      <c r="S68" s="98">
        <f t="shared" si="29"/>
        <v>186</v>
      </c>
    </row>
    <row r="69" spans="1:19" ht="28.5" customHeight="1" x14ac:dyDescent="0.25">
      <c r="A69" s="90">
        <f t="shared" si="4"/>
        <v>62</v>
      </c>
      <c r="B69" s="134" t="str">
        <f>'T1'!B65</f>
        <v>Mahasõidukoht R3 muldkeha ehitamine juurdeveetavast pinnasest. H=30 cm</v>
      </c>
      <c r="C69" s="134"/>
      <c r="D69" s="134"/>
      <c r="E69" s="134"/>
      <c r="F69" s="134"/>
      <c r="G69" s="25" t="s">
        <v>501</v>
      </c>
      <c r="H69" s="25"/>
      <c r="I69" s="25">
        <f>'T1'!I65</f>
        <v>340</v>
      </c>
      <c r="J69" s="25">
        <f>'T1'!J65</f>
        <v>80</v>
      </c>
      <c r="K69" s="25"/>
      <c r="L69" s="96">
        <f>SUM(H69:K69)</f>
        <v>420</v>
      </c>
      <c r="M69" s="101">
        <v>3.1</v>
      </c>
      <c r="N69" s="102" t="s">
        <v>534</v>
      </c>
      <c r="O69" s="97"/>
      <c r="P69" s="97">
        <f t="shared" ref="P69:Q69" si="38">I69*$M69</f>
        <v>1054</v>
      </c>
      <c r="Q69" s="97">
        <f t="shared" si="38"/>
        <v>248</v>
      </c>
      <c r="R69" s="97"/>
      <c r="S69" s="98">
        <f t="shared" si="29"/>
        <v>1302</v>
      </c>
    </row>
    <row r="70" spans="1:19" ht="41.25" customHeight="1" x14ac:dyDescent="0.25">
      <c r="A70" s="90">
        <f t="shared" si="4"/>
        <v>63</v>
      </c>
      <c r="B70" s="134" t="str">
        <f>'T1'!B66</f>
        <v>Mahasõidukoht R3 geotekstiili 4. profiil (NGS 4), mitte kootud kangas, laiusega 5,0 m, paigaldamine tihendatud ja profileeritud muldkehale</v>
      </c>
      <c r="C70" s="134"/>
      <c r="D70" s="134"/>
      <c r="E70" s="134"/>
      <c r="F70" s="134"/>
      <c r="G70" s="25" t="s">
        <v>503</v>
      </c>
      <c r="H70" s="25">
        <f>'T1'!H66</f>
        <v>120</v>
      </c>
      <c r="I70" s="25">
        <f>'T1'!I66</f>
        <v>680</v>
      </c>
      <c r="J70" s="25">
        <f>'T1'!J66</f>
        <v>160</v>
      </c>
      <c r="K70" s="25"/>
      <c r="L70" s="96">
        <f t="shared" si="30"/>
        <v>960</v>
      </c>
      <c r="M70" s="25">
        <v>1.03</v>
      </c>
      <c r="N70" s="25" t="s">
        <v>535</v>
      </c>
      <c r="O70" s="97">
        <f t="shared" ref="O70:O72" si="39">H70*$M70</f>
        <v>123.60000000000001</v>
      </c>
      <c r="P70" s="97">
        <f t="shared" ref="P70:P72" si="40">I70*$M70</f>
        <v>700.4</v>
      </c>
      <c r="Q70" s="97">
        <f t="shared" ref="Q70:Q72" si="41">J70*$M70</f>
        <v>164.8</v>
      </c>
      <c r="R70" s="97"/>
      <c r="S70" s="98">
        <f t="shared" si="29"/>
        <v>988.8</v>
      </c>
    </row>
    <row r="71" spans="1:19" ht="31.5" customHeight="1" x14ac:dyDescent="0.25">
      <c r="A71" s="90">
        <f t="shared" si="4"/>
        <v>64</v>
      </c>
      <c r="B71" s="134" t="str">
        <f>'T1'!B67</f>
        <v>Mahasõidukoht R3 kruus fr 0/63 mm (Pos 4), geomeetriline maht koos hanke, pealelaadimise ja veoga, H=20cm</v>
      </c>
      <c r="C71" s="134"/>
      <c r="D71" s="134"/>
      <c r="E71" s="134"/>
      <c r="F71" s="134"/>
      <c r="G71" s="25" t="s">
        <v>501</v>
      </c>
      <c r="H71" s="25">
        <f>'T1'!H67</f>
        <v>33</v>
      </c>
      <c r="I71" s="25">
        <f>'T1'!I67</f>
        <v>187</v>
      </c>
      <c r="J71" s="25">
        <f>'T1'!J67</f>
        <v>44</v>
      </c>
      <c r="K71" s="25"/>
      <c r="L71" s="96">
        <f t="shared" si="30"/>
        <v>264</v>
      </c>
      <c r="M71" s="25">
        <v>15</v>
      </c>
      <c r="N71" s="25" t="s">
        <v>532</v>
      </c>
      <c r="O71" s="97">
        <f t="shared" si="39"/>
        <v>495</v>
      </c>
      <c r="P71" s="97">
        <f t="shared" si="40"/>
        <v>2805</v>
      </c>
      <c r="Q71" s="97">
        <f t="shared" si="41"/>
        <v>660</v>
      </c>
      <c r="R71" s="97"/>
      <c r="S71" s="98">
        <f t="shared" si="29"/>
        <v>3960</v>
      </c>
    </row>
    <row r="72" spans="1:19" ht="27" customHeight="1" x14ac:dyDescent="0.25">
      <c r="A72" s="90">
        <f t="shared" si="4"/>
        <v>65</v>
      </c>
      <c r="B72" s="134" t="str">
        <f>'T1'!B68</f>
        <v>Mahasõidukoht R3 kruus fr 0/32 mm (Pos 6), geomeetriline maht koos hanke, pealelaadimise ja veoga, H=10cm</v>
      </c>
      <c r="C72" s="134"/>
      <c r="D72" s="134"/>
      <c r="E72" s="134"/>
      <c r="F72" s="134"/>
      <c r="G72" s="25" t="s">
        <v>501</v>
      </c>
      <c r="H72" s="25">
        <f>'T1'!H68</f>
        <v>15</v>
      </c>
      <c r="I72" s="25">
        <f>'T1'!I68</f>
        <v>85</v>
      </c>
      <c r="J72" s="25">
        <f>'T1'!J68</f>
        <v>20</v>
      </c>
      <c r="K72" s="25"/>
      <c r="L72" s="96">
        <f t="shared" si="30"/>
        <v>120</v>
      </c>
      <c r="M72" s="25">
        <v>15</v>
      </c>
      <c r="N72" s="25" t="s">
        <v>532</v>
      </c>
      <c r="O72" s="97">
        <f t="shared" si="39"/>
        <v>225</v>
      </c>
      <c r="P72" s="97">
        <f t="shared" si="40"/>
        <v>1275</v>
      </c>
      <c r="Q72" s="97">
        <f t="shared" si="41"/>
        <v>300</v>
      </c>
      <c r="R72" s="97"/>
      <c r="S72" s="98">
        <f t="shared" si="29"/>
        <v>1800</v>
      </c>
    </row>
    <row r="73" spans="1:19" s="105" customFormat="1" ht="33" customHeight="1" x14ac:dyDescent="0.25">
      <c r="A73" s="90">
        <f t="shared" si="4"/>
        <v>66</v>
      </c>
      <c r="B73" s="178" t="str">
        <f>'T1'!B69</f>
        <v>T-kujulise tagasipööramiskoha TP-T muldkeha ja katendi ehitamine koos tihendamisega</v>
      </c>
      <c r="C73" s="178"/>
      <c r="D73" s="178"/>
      <c r="E73" s="178"/>
      <c r="F73" s="178"/>
      <c r="G73" s="89" t="str">
        <f>'T1'!G69</f>
        <v>tk</v>
      </c>
      <c r="H73" s="89">
        <f>'T1'!H69</f>
        <v>1</v>
      </c>
      <c r="I73" s="89"/>
      <c r="J73" s="89"/>
      <c r="K73" s="89">
        <f>'T1'!K69</f>
        <v>1</v>
      </c>
      <c r="L73" s="96">
        <f t="shared" si="30"/>
        <v>2</v>
      </c>
      <c r="M73" s="89"/>
      <c r="N73" s="89"/>
      <c r="O73" s="89"/>
      <c r="P73" s="89"/>
      <c r="Q73" s="89"/>
      <c r="R73" s="89"/>
      <c r="S73" s="98"/>
    </row>
    <row r="74" spans="1:19" ht="27.75" customHeight="1" x14ac:dyDescent="0.25">
      <c r="A74" s="90">
        <f t="shared" ref="A74:A94" si="42">A73+1</f>
        <v>67</v>
      </c>
      <c r="B74" s="134" t="str">
        <f>'T1'!B70</f>
        <v>T-kujulise tagasipööramiskoha TP-T muldkeha ehitamine kraavide rajamisel saadud pinnasest, H=30 cm</v>
      </c>
      <c r="C74" s="134"/>
      <c r="D74" s="134"/>
      <c r="E74" s="134"/>
      <c r="F74" s="134"/>
      <c r="G74" s="25" t="s">
        <v>501</v>
      </c>
      <c r="H74" s="25">
        <f>'T1'!H70</f>
        <v>149</v>
      </c>
      <c r="I74" s="25"/>
      <c r="J74" s="25"/>
      <c r="K74" s="25"/>
      <c r="L74" s="96">
        <f t="shared" si="30"/>
        <v>149</v>
      </c>
      <c r="M74" s="101">
        <v>3.1</v>
      </c>
      <c r="N74" s="102" t="s">
        <v>534</v>
      </c>
      <c r="O74" s="97">
        <f>H74*$M74</f>
        <v>461.90000000000003</v>
      </c>
      <c r="P74" s="97"/>
      <c r="Q74" s="97"/>
      <c r="R74" s="97"/>
      <c r="S74" s="98">
        <f t="shared" si="29"/>
        <v>461.90000000000003</v>
      </c>
    </row>
    <row r="75" spans="1:19" ht="27.75" customHeight="1" x14ac:dyDescent="0.25">
      <c r="A75" s="90">
        <f t="shared" si="42"/>
        <v>68</v>
      </c>
      <c r="B75" s="134" t="str">
        <f>'T1'!B71</f>
        <v>T-kujulise tagasipööramiskoha TP-T muldkeha ehitamine juurdeveetavast pinnasest, H=30 cm</v>
      </c>
      <c r="C75" s="134"/>
      <c r="D75" s="134"/>
      <c r="E75" s="134"/>
      <c r="F75" s="134"/>
      <c r="G75" s="25" t="s">
        <v>501</v>
      </c>
      <c r="H75" s="25"/>
      <c r="I75" s="25"/>
      <c r="J75" s="25"/>
      <c r="K75" s="25">
        <f>'T1'!K71</f>
        <v>149</v>
      </c>
      <c r="L75" s="96">
        <f t="shared" si="30"/>
        <v>149</v>
      </c>
      <c r="M75" s="101">
        <v>3.1</v>
      </c>
      <c r="N75" s="102" t="s">
        <v>534</v>
      </c>
      <c r="O75" s="97"/>
      <c r="P75" s="97"/>
      <c r="Q75" s="97"/>
      <c r="R75" s="97">
        <f t="shared" ref="R75:R77" si="43">K75*$M75</f>
        <v>461.90000000000003</v>
      </c>
      <c r="S75" s="98">
        <f t="shared" si="29"/>
        <v>461.90000000000003</v>
      </c>
    </row>
    <row r="76" spans="1:19" ht="40.5" customHeight="1" x14ac:dyDescent="0.25">
      <c r="A76" s="90">
        <f t="shared" si="42"/>
        <v>69</v>
      </c>
      <c r="B76" s="134" t="str">
        <f>'T1'!B72</f>
        <v>T-kujulise tagasipööramiskoha TP-T geotekstiili 4. profiil (NGS 4), mitte kootud kangas, laiusega 5,0 m, paigaldamine tihendatud ja profileeritud muldkehale</v>
      </c>
      <c r="C76" s="134"/>
      <c r="D76" s="134"/>
      <c r="E76" s="134"/>
      <c r="F76" s="134"/>
      <c r="G76" s="25" t="s">
        <v>503</v>
      </c>
      <c r="H76" s="25">
        <f>'T1'!H72</f>
        <v>361</v>
      </c>
      <c r="I76" s="25"/>
      <c r="J76" s="25"/>
      <c r="K76" s="25">
        <f>'T1'!K72</f>
        <v>361</v>
      </c>
      <c r="L76" s="96">
        <f t="shared" si="30"/>
        <v>722</v>
      </c>
      <c r="M76" s="25">
        <v>1.03</v>
      </c>
      <c r="N76" s="25" t="s">
        <v>535</v>
      </c>
      <c r="O76" s="97">
        <f t="shared" ref="O76:O78" si="44">H76*$M76</f>
        <v>371.83</v>
      </c>
      <c r="P76" s="97"/>
      <c r="Q76" s="97"/>
      <c r="R76" s="97">
        <f t="shared" si="43"/>
        <v>371.83</v>
      </c>
      <c r="S76" s="98">
        <f t="shared" si="29"/>
        <v>743.66</v>
      </c>
    </row>
    <row r="77" spans="1:19" ht="38.25" customHeight="1" x14ac:dyDescent="0.25">
      <c r="A77" s="90">
        <f t="shared" si="42"/>
        <v>70</v>
      </c>
      <c r="B77" s="134" t="str">
        <f>'T1'!B73</f>
        <v>T-kujulise tagasipööramiskoha TP-T kruus fr 0/63 mm (Pos 4), geomeetriline maht koos hanke, pealelaadimise ja veoga, H=20cm</v>
      </c>
      <c r="C77" s="134"/>
      <c r="D77" s="134"/>
      <c r="E77" s="134"/>
      <c r="F77" s="134"/>
      <c r="G77" s="25" t="s">
        <v>501</v>
      </c>
      <c r="H77" s="25">
        <f>'T1'!H73</f>
        <v>77</v>
      </c>
      <c r="I77" s="25"/>
      <c r="J77" s="25"/>
      <c r="K77" s="25">
        <f>'T1'!K73</f>
        <v>77</v>
      </c>
      <c r="L77" s="96">
        <f t="shared" si="30"/>
        <v>154</v>
      </c>
      <c r="M77" s="25">
        <v>15</v>
      </c>
      <c r="N77" s="25" t="s">
        <v>532</v>
      </c>
      <c r="O77" s="97">
        <f t="shared" si="44"/>
        <v>1155</v>
      </c>
      <c r="P77" s="97"/>
      <c r="Q77" s="97"/>
      <c r="R77" s="97">
        <f t="shared" si="43"/>
        <v>1155</v>
      </c>
      <c r="S77" s="98">
        <f t="shared" si="29"/>
        <v>2310</v>
      </c>
    </row>
    <row r="78" spans="1:19" ht="41.25" customHeight="1" x14ac:dyDescent="0.25">
      <c r="A78" s="90">
        <f t="shared" si="42"/>
        <v>71</v>
      </c>
      <c r="B78" s="134" t="str">
        <f>'T1'!B74</f>
        <v>T-kujulise tagasipööramiskoha TP-T  kruus fr 0/32 mm (Pos 6), geomeetriline maht koos hanke, pealelaadimise ja veoga, H=10cm</v>
      </c>
      <c r="C78" s="134"/>
      <c r="D78" s="134"/>
      <c r="E78" s="134"/>
      <c r="F78" s="134"/>
      <c r="G78" s="25" t="s">
        <v>501</v>
      </c>
      <c r="H78" s="25">
        <f>'T1'!H74</f>
        <v>35</v>
      </c>
      <c r="I78" s="25"/>
      <c r="J78" s="25"/>
      <c r="K78" s="25">
        <f>'T1'!K74</f>
        <v>35</v>
      </c>
      <c r="L78" s="96">
        <f>SUM(H78:K78)</f>
        <v>70</v>
      </c>
      <c r="M78" s="25">
        <v>15</v>
      </c>
      <c r="N78" s="25" t="s">
        <v>532</v>
      </c>
      <c r="O78" s="97">
        <f t="shared" si="44"/>
        <v>525</v>
      </c>
      <c r="P78" s="97"/>
      <c r="Q78" s="97"/>
      <c r="R78" s="97">
        <f>K78*$M78</f>
        <v>525</v>
      </c>
      <c r="S78" s="98">
        <f t="shared" si="29"/>
        <v>1050</v>
      </c>
    </row>
    <row r="79" spans="1:19" s="105" customFormat="1" ht="36" customHeight="1" x14ac:dyDescent="0.25">
      <c r="A79" s="90">
        <f t="shared" si="42"/>
        <v>72</v>
      </c>
      <c r="B79" s="178" t="str">
        <f>'T1'!B75</f>
        <v>Möödasõidukoha MS muldkeha ja katendi ehitamine koos tihendamisega</v>
      </c>
      <c r="C79" s="178"/>
      <c r="D79" s="178"/>
      <c r="E79" s="178"/>
      <c r="F79" s="178"/>
      <c r="G79" s="89" t="str">
        <f>'T1'!G75</f>
        <v>tk</v>
      </c>
      <c r="H79" s="89"/>
      <c r="I79" s="89">
        <f>'T1'!I75</f>
        <v>5</v>
      </c>
      <c r="J79" s="89">
        <f>'T1'!J75</f>
        <v>2</v>
      </c>
      <c r="K79" s="89"/>
      <c r="L79" s="96">
        <f t="shared" si="30"/>
        <v>7</v>
      </c>
      <c r="M79" s="89"/>
      <c r="N79" s="89"/>
      <c r="O79" s="89"/>
      <c r="P79" s="89"/>
      <c r="Q79" s="89"/>
      <c r="R79" s="89"/>
      <c r="S79" s="98"/>
    </row>
    <row r="80" spans="1:19" ht="28.5" customHeight="1" x14ac:dyDescent="0.25">
      <c r="A80" s="90">
        <f t="shared" si="42"/>
        <v>73</v>
      </c>
      <c r="B80" s="134" t="str">
        <f>'T1'!B76</f>
        <v>Möödasõidukoha MS muldkeha ehitamine juurdeveetavast pinnasest. H=30 cm</v>
      </c>
      <c r="C80" s="134"/>
      <c r="D80" s="134"/>
      <c r="E80" s="134"/>
      <c r="F80" s="134"/>
      <c r="G80" s="25" t="s">
        <v>501</v>
      </c>
      <c r="H80" s="25"/>
      <c r="I80" s="25">
        <f>'T1'!I76</f>
        <v>375</v>
      </c>
      <c r="J80" s="25">
        <f>'T1'!J76</f>
        <v>150</v>
      </c>
      <c r="K80" s="25"/>
      <c r="L80" s="96">
        <f t="shared" si="30"/>
        <v>525</v>
      </c>
      <c r="M80" s="101">
        <v>3.1</v>
      </c>
      <c r="N80" s="102" t="s">
        <v>534</v>
      </c>
      <c r="O80" s="97"/>
      <c r="P80" s="97">
        <f t="shared" ref="P80:P83" si="45">I80*$M80</f>
        <v>1162.5</v>
      </c>
      <c r="Q80" s="97">
        <f t="shared" ref="Q80:Q83" si="46">J80*$M80</f>
        <v>465</v>
      </c>
      <c r="R80" s="97"/>
      <c r="S80" s="98">
        <f t="shared" si="29"/>
        <v>1627.5</v>
      </c>
    </row>
    <row r="81" spans="1:19" ht="37.5" customHeight="1" x14ac:dyDescent="0.25">
      <c r="A81" s="90">
        <f t="shared" si="42"/>
        <v>74</v>
      </c>
      <c r="B81" s="134" t="str">
        <f>'T1'!B77</f>
        <v>Möödasõidukoha MS geotekstiili 4. profiil (NGS 4), mitte kootud kangas, laiusega 5,0 m, paigaldamine tihendatud ja profileeritud muldkehale</v>
      </c>
      <c r="C81" s="134"/>
      <c r="D81" s="134"/>
      <c r="E81" s="134"/>
      <c r="F81" s="134"/>
      <c r="G81" s="25" t="s">
        <v>503</v>
      </c>
      <c r="H81" s="25"/>
      <c r="I81" s="25">
        <f>'T1'!I77</f>
        <v>1250</v>
      </c>
      <c r="J81" s="25">
        <f>'T1'!J77</f>
        <v>500</v>
      </c>
      <c r="K81" s="25"/>
      <c r="L81" s="96">
        <f t="shared" si="30"/>
        <v>1750</v>
      </c>
      <c r="M81" s="25">
        <v>1.03</v>
      </c>
      <c r="N81" s="25" t="s">
        <v>535</v>
      </c>
      <c r="O81" s="97"/>
      <c r="P81" s="97">
        <f t="shared" si="45"/>
        <v>1287.5</v>
      </c>
      <c r="Q81" s="97">
        <f t="shared" si="46"/>
        <v>515</v>
      </c>
      <c r="R81" s="97"/>
      <c r="S81" s="98">
        <f t="shared" si="29"/>
        <v>1802.5</v>
      </c>
    </row>
    <row r="82" spans="1:19" ht="39.75" customHeight="1" x14ac:dyDescent="0.25">
      <c r="A82" s="90">
        <f t="shared" si="42"/>
        <v>75</v>
      </c>
      <c r="B82" s="134" t="str">
        <f>'T1'!B78</f>
        <v>Möödasõidukoha MS kruus fr 0/63 mm (Pos 4), geomeetriline maht koos hanke, pealelaadimise ja veoga, H=20cm</v>
      </c>
      <c r="C82" s="134"/>
      <c r="D82" s="134"/>
      <c r="E82" s="134"/>
      <c r="F82" s="134"/>
      <c r="G82" s="25" t="s">
        <v>501</v>
      </c>
      <c r="H82" s="25"/>
      <c r="I82" s="25">
        <f>'T1'!I78</f>
        <v>310</v>
      </c>
      <c r="J82" s="25">
        <f>'T1'!J78</f>
        <v>124</v>
      </c>
      <c r="K82" s="25"/>
      <c r="L82" s="96">
        <f t="shared" si="30"/>
        <v>434</v>
      </c>
      <c r="M82" s="25">
        <v>15</v>
      </c>
      <c r="N82" s="25" t="s">
        <v>532</v>
      </c>
      <c r="O82" s="97"/>
      <c r="P82" s="97">
        <f t="shared" si="45"/>
        <v>4650</v>
      </c>
      <c r="Q82" s="97">
        <f t="shared" si="46"/>
        <v>1860</v>
      </c>
      <c r="R82" s="97"/>
      <c r="S82" s="98">
        <f t="shared" si="29"/>
        <v>6510</v>
      </c>
    </row>
    <row r="83" spans="1:19" ht="36" customHeight="1" x14ac:dyDescent="0.25">
      <c r="A83" s="90">
        <f t="shared" si="42"/>
        <v>76</v>
      </c>
      <c r="B83" s="134" t="str">
        <f>'T1'!B79</f>
        <v>Möödasõidukoha MS kruus fr 0/32 mm (Pos 6), geomeetriline maht koos hanke, pealelaadimise ja veoga, H=10cm</v>
      </c>
      <c r="C83" s="134"/>
      <c r="D83" s="134"/>
      <c r="E83" s="134"/>
      <c r="F83" s="134"/>
      <c r="G83" s="25" t="s">
        <v>501</v>
      </c>
      <c r="H83" s="25"/>
      <c r="I83" s="25">
        <f>'T1'!I79</f>
        <v>115</v>
      </c>
      <c r="J83" s="25">
        <f>'T1'!J79</f>
        <v>46</v>
      </c>
      <c r="K83" s="25"/>
      <c r="L83" s="96">
        <f t="shared" si="30"/>
        <v>161</v>
      </c>
      <c r="M83" s="25">
        <v>15</v>
      </c>
      <c r="N83" s="25" t="s">
        <v>532</v>
      </c>
      <c r="O83" s="97"/>
      <c r="P83" s="97">
        <f t="shared" si="45"/>
        <v>1725</v>
      </c>
      <c r="Q83" s="97">
        <f t="shared" si="46"/>
        <v>690</v>
      </c>
      <c r="R83" s="97"/>
      <c r="S83" s="98">
        <f t="shared" si="29"/>
        <v>2415</v>
      </c>
    </row>
    <row r="84" spans="1:19" s="105" customFormat="1" ht="27.75" customHeight="1" x14ac:dyDescent="0.25">
      <c r="A84" s="90">
        <f t="shared" si="42"/>
        <v>77</v>
      </c>
      <c r="B84" s="178" t="str">
        <f>'T1'!B80</f>
        <v>Mahasõidukoha MM ehitamine vastavalt põhiprojektile PP-21-41 (Lisa 7)</v>
      </c>
      <c r="C84" s="178"/>
      <c r="D84" s="178"/>
      <c r="E84" s="178"/>
      <c r="F84" s="178"/>
      <c r="G84" s="89" t="str">
        <f>'T1'!G80</f>
        <v>tk</v>
      </c>
      <c r="H84" s="89">
        <f>'T1'!H80</f>
        <v>1</v>
      </c>
      <c r="I84" s="89">
        <f>'T1'!I80</f>
        <v>2</v>
      </c>
      <c r="J84" s="89">
        <f>'T1'!J80</f>
        <v>1</v>
      </c>
      <c r="K84" s="89"/>
      <c r="L84" s="96">
        <f t="shared" si="30"/>
        <v>4</v>
      </c>
      <c r="M84" s="106">
        <v>12000</v>
      </c>
      <c r="N84" s="25" t="s">
        <v>532</v>
      </c>
      <c r="O84" s="97">
        <f t="shared" ref="O84" si="47">H84*$M84</f>
        <v>12000</v>
      </c>
      <c r="P84" s="97">
        <f t="shared" ref="P84" si="48">I84*$M84</f>
        <v>24000</v>
      </c>
      <c r="Q84" s="97">
        <f t="shared" ref="Q84" si="49">J84*$M84</f>
        <v>12000</v>
      </c>
      <c r="R84" s="97"/>
      <c r="S84" s="98">
        <f t="shared" si="29"/>
        <v>48000</v>
      </c>
    </row>
    <row r="85" spans="1:19" s="105" customFormat="1" ht="16.5" customHeight="1" x14ac:dyDescent="0.25">
      <c r="A85" s="90">
        <f t="shared" si="42"/>
        <v>78</v>
      </c>
      <c r="B85" s="176" t="s">
        <v>154</v>
      </c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176"/>
      <c r="N85" s="176"/>
      <c r="O85" s="176"/>
      <c r="P85" s="176"/>
      <c r="Q85" s="176"/>
      <c r="R85" s="176"/>
      <c r="S85" s="99">
        <f>SUM(S56:S84)</f>
        <v>95469.86</v>
      </c>
    </row>
    <row r="86" spans="1:19" ht="15" customHeight="1" x14ac:dyDescent="0.25">
      <c r="A86" s="90">
        <f t="shared" si="42"/>
        <v>79</v>
      </c>
      <c r="B86" s="177" t="str">
        <f>[1]T2b!B62</f>
        <v>IV. Muud tööd</v>
      </c>
      <c r="C86" s="177"/>
      <c r="D86" s="177"/>
      <c r="E86" s="177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</row>
    <row r="87" spans="1:19" x14ac:dyDescent="0.25">
      <c r="A87" s="90">
        <f t="shared" si="42"/>
        <v>80</v>
      </c>
      <c r="B87" s="134" t="str">
        <f>'T1'!B82</f>
        <v>Liiklusmärgi "anna teed" nr 221 paigaldamine</v>
      </c>
      <c r="C87" s="134"/>
      <c r="D87" s="134"/>
      <c r="E87" s="134"/>
      <c r="F87" s="134"/>
      <c r="G87" s="25" t="str">
        <f>'T1'!G82</f>
        <v>tk</v>
      </c>
      <c r="H87" s="25">
        <f>'T1'!H82</f>
        <v>1</v>
      </c>
      <c r="I87" s="25">
        <f>'T1'!I82</f>
        <v>2</v>
      </c>
      <c r="J87" s="25">
        <f>'T1'!J82</f>
        <v>2</v>
      </c>
      <c r="K87" s="25">
        <f>'T1'!K82</f>
        <v>1</v>
      </c>
      <c r="L87" s="96">
        <f t="shared" si="30"/>
        <v>6</v>
      </c>
      <c r="M87" s="102">
        <v>313.81</v>
      </c>
      <c r="N87" s="102" t="s">
        <v>536</v>
      </c>
      <c r="O87" s="97">
        <f>H87*$M87</f>
        <v>313.81</v>
      </c>
      <c r="P87" s="97">
        <f t="shared" ref="P87:R87" si="50">I87*$M87</f>
        <v>627.62</v>
      </c>
      <c r="Q87" s="97">
        <f t="shared" si="50"/>
        <v>627.62</v>
      </c>
      <c r="R87" s="97">
        <f t="shared" si="50"/>
        <v>313.81</v>
      </c>
      <c r="S87" s="98">
        <f>SUM(O87:R87)</f>
        <v>1882.8600000000001</v>
      </c>
    </row>
    <row r="88" spans="1:19" x14ac:dyDescent="0.25">
      <c r="A88" s="90">
        <f t="shared" si="42"/>
        <v>81</v>
      </c>
      <c r="B88" s="134" t="str">
        <f>'T1'!B83</f>
        <v>Setteekraani paigaldamine</v>
      </c>
      <c r="C88" s="134"/>
      <c r="D88" s="134"/>
      <c r="E88" s="134"/>
      <c r="F88" s="134"/>
      <c r="G88" s="25" t="str">
        <f>'T1'!G83</f>
        <v>tk</v>
      </c>
      <c r="H88" s="25">
        <f>'T1'!H83</f>
        <v>1</v>
      </c>
      <c r="I88" s="25"/>
      <c r="J88" s="25"/>
      <c r="K88" s="25"/>
      <c r="L88" s="96">
        <f t="shared" si="30"/>
        <v>1</v>
      </c>
      <c r="M88" s="102">
        <v>100</v>
      </c>
      <c r="N88" s="102" t="s">
        <v>532</v>
      </c>
      <c r="O88" s="97">
        <f>H88*$M88</f>
        <v>100</v>
      </c>
      <c r="P88" s="97"/>
      <c r="Q88" s="97"/>
      <c r="R88" s="97"/>
      <c r="S88" s="98">
        <f t="shared" ref="S88:S89" si="51">SUM(O88:R88)</f>
        <v>100</v>
      </c>
    </row>
    <row r="89" spans="1:19" x14ac:dyDescent="0.25">
      <c r="A89" s="90">
        <f t="shared" si="42"/>
        <v>82</v>
      </c>
      <c r="B89" s="134" t="str">
        <f>'T1'!B84</f>
        <v>Maapinna tasandamine Latisilla tee PK 21+30 juures</v>
      </c>
      <c r="C89" s="134"/>
      <c r="D89" s="134"/>
      <c r="E89" s="134"/>
      <c r="F89" s="134"/>
      <c r="G89" s="25" t="s">
        <v>501</v>
      </c>
      <c r="H89" s="25"/>
      <c r="I89" s="25">
        <f>'T1'!I84</f>
        <v>45</v>
      </c>
      <c r="J89" s="25"/>
      <c r="K89" s="25"/>
      <c r="L89" s="96">
        <f t="shared" si="30"/>
        <v>45</v>
      </c>
      <c r="M89" s="97">
        <v>0.53</v>
      </c>
      <c r="N89" s="25" t="s">
        <v>615</v>
      </c>
      <c r="O89" s="97"/>
      <c r="P89" s="97">
        <f>I89*$M89</f>
        <v>23.85</v>
      </c>
      <c r="Q89" s="97"/>
      <c r="R89" s="97"/>
      <c r="S89" s="98">
        <f t="shared" si="51"/>
        <v>23.85</v>
      </c>
    </row>
    <row r="90" spans="1:19" x14ac:dyDescent="0.25">
      <c r="A90" s="90">
        <f t="shared" si="42"/>
        <v>83</v>
      </c>
      <c r="B90" s="134" t="str">
        <f>'T1'!B85</f>
        <v>Nõuetekohase teostusmõõdistuse koostamine</v>
      </c>
      <c r="C90" s="134"/>
      <c r="D90" s="134"/>
      <c r="E90" s="134"/>
      <c r="F90" s="134"/>
      <c r="G90" s="25" t="str">
        <f>'T1'!G85</f>
        <v>töö</v>
      </c>
      <c r="H90" s="25">
        <f>'T1'!H85</f>
        <v>1</v>
      </c>
      <c r="I90" s="25">
        <f>'T1'!I85</f>
        <v>1</v>
      </c>
      <c r="J90" s="25">
        <f>'T1'!J85</f>
        <v>1</v>
      </c>
      <c r="K90" s="25">
        <f>'T1'!K85</f>
        <v>1</v>
      </c>
      <c r="L90" s="96">
        <f t="shared" si="30"/>
        <v>4</v>
      </c>
      <c r="M90" s="25">
        <v>500</v>
      </c>
      <c r="N90" s="25" t="s">
        <v>537</v>
      </c>
      <c r="O90" s="97">
        <f>H90*$M90</f>
        <v>500</v>
      </c>
      <c r="P90" s="97">
        <f t="shared" ref="P90" si="52">I90*$M90</f>
        <v>500</v>
      </c>
      <c r="Q90" s="97">
        <f t="shared" ref="Q90" si="53">J90*$M90</f>
        <v>500</v>
      </c>
      <c r="R90" s="97">
        <f t="shared" ref="R90" si="54">K90*$M90</f>
        <v>500</v>
      </c>
      <c r="S90" s="98">
        <f>SUM(O90:R90)</f>
        <v>2000</v>
      </c>
    </row>
    <row r="91" spans="1:19" x14ac:dyDescent="0.25">
      <c r="A91" s="90">
        <f t="shared" si="42"/>
        <v>84</v>
      </c>
      <c r="B91" s="176" t="s">
        <v>154</v>
      </c>
      <c r="C91" s="176"/>
      <c r="D91" s="176"/>
      <c r="E91" s="176"/>
      <c r="F91" s="176"/>
      <c r="G91" s="176"/>
      <c r="H91" s="176"/>
      <c r="I91" s="176"/>
      <c r="J91" s="176"/>
      <c r="K91" s="176"/>
      <c r="L91" s="176"/>
      <c r="M91" s="176"/>
      <c r="N91" s="176"/>
      <c r="O91" s="176"/>
      <c r="P91" s="176"/>
      <c r="Q91" s="176"/>
      <c r="R91" s="176"/>
      <c r="S91" s="99">
        <f>SUM(S87:S90)</f>
        <v>4006.71</v>
      </c>
    </row>
    <row r="92" spans="1:19" x14ac:dyDescent="0.25">
      <c r="A92" s="90">
        <f t="shared" si="42"/>
        <v>85</v>
      </c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75" t="s">
        <v>538</v>
      </c>
      <c r="P92" s="175"/>
      <c r="Q92" s="175"/>
      <c r="R92" s="175"/>
      <c r="S92" s="104">
        <f>S21+S49+S54+S85+S91</f>
        <v>359854.16174000001</v>
      </c>
    </row>
    <row r="93" spans="1:19" x14ac:dyDescent="0.25">
      <c r="A93" s="90">
        <f t="shared" si="42"/>
        <v>86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75" t="s">
        <v>539</v>
      </c>
      <c r="P93" s="175"/>
      <c r="Q93" s="175"/>
      <c r="R93" s="175"/>
      <c r="S93" s="104">
        <f>(S92)*0.2</f>
        <v>71970.832348000011</v>
      </c>
    </row>
    <row r="94" spans="1:19" x14ac:dyDescent="0.25">
      <c r="A94" s="90">
        <f t="shared" si="42"/>
        <v>87</v>
      </c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75" t="s">
        <v>540</v>
      </c>
      <c r="P94" s="175"/>
      <c r="Q94" s="175"/>
      <c r="R94" s="175"/>
      <c r="S94" s="104">
        <f>S93+S92</f>
        <v>431824.99408800004</v>
      </c>
    </row>
  </sheetData>
  <mergeCells count="100">
    <mergeCell ref="B45:R45"/>
    <mergeCell ref="B57:F57"/>
    <mergeCell ref="B63:F63"/>
    <mergeCell ref="B33:F33"/>
    <mergeCell ref="B34:F34"/>
    <mergeCell ref="B35:F35"/>
    <mergeCell ref="B44:F44"/>
    <mergeCell ref="B36:F36"/>
    <mergeCell ref="B37:F37"/>
    <mergeCell ref="B38:F38"/>
    <mergeCell ref="B39:F39"/>
    <mergeCell ref="B40:F40"/>
    <mergeCell ref="B41:F41"/>
    <mergeCell ref="B42:F42"/>
    <mergeCell ref="B43:F43"/>
    <mergeCell ref="B52:F52"/>
    <mergeCell ref="B32:F32"/>
    <mergeCell ref="B25:F25"/>
    <mergeCell ref="B26:F26"/>
    <mergeCell ref="B27:F27"/>
    <mergeCell ref="B28:F28"/>
    <mergeCell ref="B6:F6"/>
    <mergeCell ref="A3:A5"/>
    <mergeCell ref="B3:F5"/>
    <mergeCell ref="G3:G5"/>
    <mergeCell ref="H3:K3"/>
    <mergeCell ref="N3:N5"/>
    <mergeCell ref="O3:S3"/>
    <mergeCell ref="H4:K4"/>
    <mergeCell ref="O4:R4"/>
    <mergeCell ref="S4:S5"/>
    <mergeCell ref="L3:L5"/>
    <mergeCell ref="M3:M5"/>
    <mergeCell ref="B7:F7"/>
    <mergeCell ref="B8:S8"/>
    <mergeCell ref="B19:F19"/>
    <mergeCell ref="B20:F20"/>
    <mergeCell ref="B21:R21"/>
    <mergeCell ref="B10:F10"/>
    <mergeCell ref="B14:F14"/>
    <mergeCell ref="B15:F15"/>
    <mergeCell ref="B18:F18"/>
    <mergeCell ref="B16:F16"/>
    <mergeCell ref="B17:F17"/>
    <mergeCell ref="B51:F51"/>
    <mergeCell ref="B9:F9"/>
    <mergeCell ref="B11:F11"/>
    <mergeCell ref="B12:F12"/>
    <mergeCell ref="B13:F13"/>
    <mergeCell ref="B46:S46"/>
    <mergeCell ref="B47:F47"/>
    <mergeCell ref="B48:F48"/>
    <mergeCell ref="B49:R49"/>
    <mergeCell ref="B50:S50"/>
    <mergeCell ref="B22:S22"/>
    <mergeCell ref="B23:F23"/>
    <mergeCell ref="B24:F24"/>
    <mergeCell ref="B29:R29"/>
    <mergeCell ref="B30:S30"/>
    <mergeCell ref="B31:F31"/>
    <mergeCell ref="B65:F65"/>
    <mergeCell ref="B53:F53"/>
    <mergeCell ref="B54:R54"/>
    <mergeCell ref="B55:S55"/>
    <mergeCell ref="B56:F56"/>
    <mergeCell ref="B58:F58"/>
    <mergeCell ref="B59:F59"/>
    <mergeCell ref="B60:F60"/>
    <mergeCell ref="B61:F61"/>
    <mergeCell ref="B62:F62"/>
    <mergeCell ref="B64:F64"/>
    <mergeCell ref="B79:F79"/>
    <mergeCell ref="B66:F66"/>
    <mergeCell ref="B67:F67"/>
    <mergeCell ref="B68:F68"/>
    <mergeCell ref="B70:F70"/>
    <mergeCell ref="B71:F71"/>
    <mergeCell ref="B72:F72"/>
    <mergeCell ref="B73:F73"/>
    <mergeCell ref="B74:F74"/>
    <mergeCell ref="B76:F76"/>
    <mergeCell ref="B77:F77"/>
    <mergeCell ref="B78:F78"/>
    <mergeCell ref="B69:F69"/>
    <mergeCell ref="B75:F75"/>
    <mergeCell ref="B80:F80"/>
    <mergeCell ref="B81:F81"/>
    <mergeCell ref="B82:F82"/>
    <mergeCell ref="B83:F83"/>
    <mergeCell ref="B84:F84"/>
    <mergeCell ref="O94:R94"/>
    <mergeCell ref="B85:R85"/>
    <mergeCell ref="B87:F87"/>
    <mergeCell ref="B90:F90"/>
    <mergeCell ref="B91:R91"/>
    <mergeCell ref="O92:R92"/>
    <mergeCell ref="O93:R93"/>
    <mergeCell ref="B86:S86"/>
    <mergeCell ref="B88:F88"/>
    <mergeCell ref="B89:F89"/>
  </mergeCells>
  <phoneticPr fontId="1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8CB81-F2A7-4863-87E3-B63DF1E08451}">
  <dimension ref="A1:M38"/>
  <sheetViews>
    <sheetView topLeftCell="A5" workbookViewId="0">
      <selection activeCell="L32" sqref="L32"/>
    </sheetView>
  </sheetViews>
  <sheetFormatPr defaultRowHeight="15" x14ac:dyDescent="0.25"/>
  <cols>
    <col min="1" max="1" width="4.28515625" customWidth="1"/>
  </cols>
  <sheetData>
    <row r="1" spans="1:9" ht="15.75" x14ac:dyDescent="0.25">
      <c r="A1" s="71" t="s">
        <v>543</v>
      </c>
    </row>
    <row r="3" spans="1:9" ht="15" customHeight="1" x14ac:dyDescent="0.25">
      <c r="A3" s="133" t="s">
        <v>0</v>
      </c>
      <c r="B3" s="133" t="s">
        <v>460</v>
      </c>
      <c r="C3" s="133"/>
      <c r="D3" s="133"/>
      <c r="E3" s="133"/>
      <c r="F3" s="133"/>
      <c r="G3" s="133"/>
      <c r="H3" s="133" t="s">
        <v>223</v>
      </c>
      <c r="I3" s="133" t="s">
        <v>461</v>
      </c>
    </row>
    <row r="4" spans="1:9" x14ac:dyDescent="0.25">
      <c r="A4" s="133"/>
      <c r="B4" s="133"/>
      <c r="C4" s="133"/>
      <c r="D4" s="133"/>
      <c r="E4" s="133"/>
      <c r="F4" s="133"/>
      <c r="G4" s="133"/>
      <c r="H4" s="133"/>
      <c r="I4" s="133"/>
    </row>
    <row r="5" spans="1:9" x14ac:dyDescent="0.25">
      <c r="A5" s="56" t="s">
        <v>34</v>
      </c>
      <c r="B5" s="147" t="s">
        <v>35</v>
      </c>
      <c r="C5" s="147"/>
      <c r="D5" s="147"/>
      <c r="E5" s="147"/>
      <c r="F5" s="147"/>
      <c r="G5" s="147"/>
      <c r="H5" s="56" t="s">
        <v>36</v>
      </c>
      <c r="I5" s="56" t="s">
        <v>37</v>
      </c>
    </row>
    <row r="6" spans="1:9" x14ac:dyDescent="0.25">
      <c r="A6" s="49">
        <v>1</v>
      </c>
      <c r="B6" s="146" t="s">
        <v>462</v>
      </c>
      <c r="C6" s="146"/>
      <c r="D6" s="146"/>
      <c r="E6" s="146"/>
      <c r="F6" s="146"/>
      <c r="G6" s="146"/>
      <c r="H6" s="84"/>
      <c r="I6" s="84"/>
    </row>
    <row r="7" spans="1:9" x14ac:dyDescent="0.25">
      <c r="A7" s="49">
        <f>A6+1</f>
        <v>2</v>
      </c>
      <c r="B7" s="133" t="s">
        <v>485</v>
      </c>
      <c r="C7" s="133"/>
      <c r="D7" s="133"/>
      <c r="E7" s="133"/>
      <c r="F7" s="133"/>
      <c r="G7" s="133"/>
      <c r="H7" s="49" t="s">
        <v>29</v>
      </c>
      <c r="I7" s="49">
        <f>'T8'!G15</f>
        <v>230</v>
      </c>
    </row>
    <row r="8" spans="1:9" ht="15" customHeight="1" x14ac:dyDescent="0.25">
      <c r="A8" s="49">
        <f t="shared" ref="A8:A32" si="0">A7+1</f>
        <v>3</v>
      </c>
      <c r="B8" s="133" t="s">
        <v>463</v>
      </c>
      <c r="C8" s="133"/>
      <c r="D8" s="133"/>
      <c r="E8" s="133"/>
      <c r="F8" s="133"/>
      <c r="G8" s="133"/>
      <c r="H8" s="49" t="s">
        <v>29</v>
      </c>
      <c r="I8" s="49">
        <f>'T8'!G16</f>
        <v>94</v>
      </c>
    </row>
    <row r="9" spans="1:9" x14ac:dyDescent="0.25">
      <c r="A9" s="49">
        <f t="shared" si="0"/>
        <v>4</v>
      </c>
      <c r="B9" s="133" t="s">
        <v>484</v>
      </c>
      <c r="C9" s="133"/>
      <c r="D9" s="133"/>
      <c r="E9" s="133"/>
      <c r="F9" s="133"/>
      <c r="G9" s="133"/>
      <c r="H9" s="49" t="s">
        <v>29</v>
      </c>
      <c r="I9" s="49">
        <f>'T8'!G17</f>
        <v>68</v>
      </c>
    </row>
    <row r="10" spans="1:9" x14ac:dyDescent="0.25">
      <c r="A10" s="49">
        <f t="shared" si="0"/>
        <v>5</v>
      </c>
      <c r="B10" s="133" t="s">
        <v>464</v>
      </c>
      <c r="C10" s="133"/>
      <c r="D10" s="133"/>
      <c r="E10" s="133"/>
      <c r="F10" s="133"/>
      <c r="G10" s="133"/>
      <c r="H10" s="49" t="s">
        <v>29</v>
      </c>
      <c r="I10" s="49">
        <f>'T8'!G18</f>
        <v>14</v>
      </c>
    </row>
    <row r="11" spans="1:9" x14ac:dyDescent="0.25">
      <c r="A11" s="49">
        <f t="shared" si="0"/>
        <v>6</v>
      </c>
      <c r="B11" s="133" t="s">
        <v>472</v>
      </c>
      <c r="C11" s="133"/>
      <c r="D11" s="133"/>
      <c r="E11" s="133"/>
      <c r="F11" s="133"/>
      <c r="G11" s="133"/>
      <c r="H11" s="49" t="s">
        <v>229</v>
      </c>
      <c r="I11" s="49">
        <f>'T8'!G25</f>
        <v>366</v>
      </c>
    </row>
    <row r="12" spans="1:9" x14ac:dyDescent="0.25">
      <c r="A12" s="49">
        <f t="shared" si="0"/>
        <v>7</v>
      </c>
      <c r="B12" s="133" t="s">
        <v>473</v>
      </c>
      <c r="C12" s="133"/>
      <c r="D12" s="133"/>
      <c r="E12" s="133"/>
      <c r="F12" s="133"/>
      <c r="G12" s="133"/>
      <c r="H12" s="49" t="s">
        <v>32</v>
      </c>
      <c r="I12" s="49">
        <f>'T8'!G26</f>
        <v>16</v>
      </c>
    </row>
    <row r="13" spans="1:9" x14ac:dyDescent="0.25">
      <c r="A13" s="49">
        <f t="shared" si="0"/>
        <v>8</v>
      </c>
      <c r="B13" s="133" t="s">
        <v>465</v>
      </c>
      <c r="C13" s="133"/>
      <c r="D13" s="133"/>
      <c r="E13" s="133"/>
      <c r="F13" s="133"/>
      <c r="G13" s="133"/>
      <c r="H13" s="49" t="s">
        <v>229</v>
      </c>
      <c r="I13" s="49">
        <f>'T8'!E36</f>
        <v>109.3</v>
      </c>
    </row>
    <row r="14" spans="1:9" x14ac:dyDescent="0.25">
      <c r="A14" s="49">
        <f t="shared" si="0"/>
        <v>9</v>
      </c>
      <c r="B14" s="133" t="s">
        <v>466</v>
      </c>
      <c r="C14" s="133"/>
      <c r="D14" s="133"/>
      <c r="E14" s="133"/>
      <c r="F14" s="133"/>
      <c r="G14" s="133"/>
      <c r="H14" s="49" t="s">
        <v>467</v>
      </c>
      <c r="I14" s="85">
        <f>'T8'!G36</f>
        <v>443</v>
      </c>
    </row>
    <row r="15" spans="1:9" x14ac:dyDescent="0.25">
      <c r="A15" s="49">
        <f t="shared" si="0"/>
        <v>10</v>
      </c>
      <c r="B15" s="133" t="s">
        <v>468</v>
      </c>
      <c r="C15" s="133"/>
      <c r="D15" s="133"/>
      <c r="E15" s="133"/>
      <c r="F15" s="133"/>
      <c r="G15" s="133"/>
      <c r="H15" s="49" t="s">
        <v>229</v>
      </c>
      <c r="I15" s="85">
        <f>'T8'!I36</f>
        <v>116.9</v>
      </c>
    </row>
    <row r="16" spans="1:9" x14ac:dyDescent="0.25">
      <c r="A16" s="49">
        <f t="shared" si="0"/>
        <v>11</v>
      </c>
      <c r="B16" s="133" t="s">
        <v>469</v>
      </c>
      <c r="C16" s="133"/>
      <c r="D16" s="133"/>
      <c r="E16" s="133"/>
      <c r="F16" s="133"/>
      <c r="G16" s="133"/>
      <c r="H16" s="49" t="s">
        <v>467</v>
      </c>
      <c r="I16" s="85">
        <f>'T8'!K36</f>
        <v>2323</v>
      </c>
    </row>
    <row r="17" spans="1:13" x14ac:dyDescent="0.25">
      <c r="A17" s="49">
        <f t="shared" si="0"/>
        <v>12</v>
      </c>
      <c r="B17" s="133" t="s">
        <v>470</v>
      </c>
      <c r="C17" s="133"/>
      <c r="D17" s="133"/>
      <c r="E17" s="133"/>
      <c r="F17" s="133"/>
      <c r="G17" s="133"/>
      <c r="H17" s="49" t="s">
        <v>256</v>
      </c>
      <c r="I17" s="49">
        <f>'T8'!M36</f>
        <v>69.400000000000006</v>
      </c>
      <c r="M17" s="22"/>
    </row>
    <row r="18" spans="1:13" ht="15.75" thickBot="1" x14ac:dyDescent="0.3">
      <c r="A18" s="49">
        <f t="shared" si="0"/>
        <v>13</v>
      </c>
      <c r="B18" s="133" t="s">
        <v>471</v>
      </c>
      <c r="C18" s="133"/>
      <c r="D18" s="133"/>
      <c r="E18" s="133"/>
      <c r="F18" s="133"/>
      <c r="G18" s="133"/>
      <c r="H18" s="49" t="s">
        <v>32</v>
      </c>
      <c r="I18" s="85">
        <f>'T8'!O36</f>
        <v>13845</v>
      </c>
    </row>
    <row r="19" spans="1:13" ht="15.75" thickBot="1" x14ac:dyDescent="0.3">
      <c r="A19" s="49">
        <f t="shared" si="0"/>
        <v>14</v>
      </c>
      <c r="B19" s="195" t="s">
        <v>647</v>
      </c>
      <c r="C19" s="196"/>
      <c r="D19" s="196"/>
      <c r="E19" s="196"/>
      <c r="F19" s="196"/>
      <c r="G19" s="196"/>
      <c r="H19" s="196"/>
      <c r="I19" s="197"/>
    </row>
    <row r="20" spans="1:13" x14ac:dyDescent="0.25">
      <c r="A20" s="49">
        <f t="shared" si="0"/>
        <v>15</v>
      </c>
      <c r="B20" s="198" t="s">
        <v>648</v>
      </c>
      <c r="C20" s="199"/>
      <c r="D20" s="199"/>
      <c r="E20" s="199"/>
      <c r="F20" s="199"/>
      <c r="G20" s="199"/>
      <c r="H20" s="204" t="s">
        <v>32</v>
      </c>
      <c r="I20" s="206">
        <f>24</f>
        <v>24</v>
      </c>
    </row>
    <row r="21" spans="1:13" x14ac:dyDescent="0.25">
      <c r="A21" s="49"/>
      <c r="B21" s="200" t="s">
        <v>649</v>
      </c>
      <c r="C21" s="201"/>
      <c r="D21" s="201"/>
      <c r="E21" s="201"/>
      <c r="F21" s="201"/>
      <c r="G21" s="201"/>
      <c r="H21" s="25" t="s">
        <v>32</v>
      </c>
      <c r="I21" s="207">
        <f>5</f>
        <v>5</v>
      </c>
    </row>
    <row r="22" spans="1:13" x14ac:dyDescent="0.25">
      <c r="A22" s="49">
        <f>A20+1</f>
        <v>16</v>
      </c>
      <c r="B22" s="200" t="s">
        <v>650</v>
      </c>
      <c r="C22" s="201"/>
      <c r="D22" s="201"/>
      <c r="E22" s="201"/>
      <c r="F22" s="201"/>
      <c r="G22" s="201"/>
      <c r="H22" s="25" t="s">
        <v>29</v>
      </c>
      <c r="I22" s="207">
        <f>6</f>
        <v>6</v>
      </c>
    </row>
    <row r="23" spans="1:13" x14ac:dyDescent="0.25">
      <c r="A23" s="49">
        <f t="shared" si="0"/>
        <v>17</v>
      </c>
      <c r="B23" s="200" t="s">
        <v>651</v>
      </c>
      <c r="C23" s="201"/>
      <c r="D23" s="201"/>
      <c r="E23" s="201"/>
      <c r="F23" s="201"/>
      <c r="G23" s="201"/>
      <c r="H23" s="25" t="s">
        <v>501</v>
      </c>
      <c r="I23" s="207">
        <f>0.1</f>
        <v>0.1</v>
      </c>
    </row>
    <row r="24" spans="1:13" ht="15.75" thickBot="1" x14ac:dyDescent="0.3">
      <c r="A24" s="49">
        <f t="shared" si="0"/>
        <v>18</v>
      </c>
      <c r="B24" s="202" t="s">
        <v>652</v>
      </c>
      <c r="C24" s="203"/>
      <c r="D24" s="203"/>
      <c r="E24" s="203"/>
      <c r="F24" s="203"/>
      <c r="G24" s="203"/>
      <c r="H24" s="205" t="s">
        <v>503</v>
      </c>
      <c r="I24" s="208">
        <f>6</f>
        <v>6</v>
      </c>
    </row>
    <row r="25" spans="1:13" x14ac:dyDescent="0.25">
      <c r="A25" s="49">
        <f t="shared" si="0"/>
        <v>19</v>
      </c>
      <c r="B25" s="146" t="s">
        <v>474</v>
      </c>
      <c r="C25" s="146"/>
      <c r="D25" s="146"/>
      <c r="E25" s="146"/>
      <c r="F25" s="146"/>
      <c r="G25" s="146"/>
      <c r="H25" s="146"/>
      <c r="I25" s="146"/>
    </row>
    <row r="26" spans="1:13" ht="25.5" x14ac:dyDescent="0.25">
      <c r="A26" s="49">
        <f t="shared" si="0"/>
        <v>20</v>
      </c>
      <c r="B26" s="133" t="s">
        <v>475</v>
      </c>
      <c r="C26" s="133"/>
      <c r="D26" s="133"/>
      <c r="E26" s="49" t="s">
        <v>223</v>
      </c>
      <c r="F26" s="49" t="s">
        <v>486</v>
      </c>
      <c r="G26" s="49" t="s">
        <v>487</v>
      </c>
      <c r="H26" s="49" t="s">
        <v>488</v>
      </c>
      <c r="I26" s="49" t="s">
        <v>489</v>
      </c>
      <c r="J26" s="49" t="s">
        <v>476</v>
      </c>
    </row>
    <row r="27" spans="1:13" x14ac:dyDescent="0.25">
      <c r="A27" s="49">
        <f t="shared" si="0"/>
        <v>21</v>
      </c>
      <c r="B27" s="133" t="s">
        <v>477</v>
      </c>
      <c r="C27" s="133"/>
      <c r="D27" s="133"/>
      <c r="E27" s="49" t="s">
        <v>229</v>
      </c>
      <c r="F27" s="85">
        <f>'T9'!G12+'T5'!C8*9+'T5'!C9*5+'T5'!C11*35</f>
        <v>631.35</v>
      </c>
      <c r="G27" s="86">
        <f>'T9'!G40+'T5'!D7*14+'T5'!D8*9+'T5'!D9*5+'T5'!D10*23</f>
        <v>2834.8799999999992</v>
      </c>
      <c r="H27" s="85">
        <f>'T9'!G52+'T5'!E8*9+'T5'!E9*5+'T5'!E10*23</f>
        <v>679.18000000000006</v>
      </c>
      <c r="I27" s="85">
        <f>'T9'!G56+'T5'!F8*9+'T5'!F11*35</f>
        <v>276.17999999999995</v>
      </c>
      <c r="J27" s="88">
        <f t="shared" ref="J27:J32" si="1">SUM(F27:I27)</f>
        <v>4421.5899999999992</v>
      </c>
    </row>
    <row r="28" spans="1:13" x14ac:dyDescent="0.25">
      <c r="A28" s="49">
        <f t="shared" si="0"/>
        <v>22</v>
      </c>
      <c r="B28" s="133" t="s">
        <v>478</v>
      </c>
      <c r="C28" s="133"/>
      <c r="D28" s="133"/>
      <c r="E28" s="49" t="s">
        <v>229</v>
      </c>
      <c r="F28" s="85">
        <f>'T9'!I12+'T5'!C8*21+'T5'!C9*11+'T5'!C11*77</f>
        <v>1390.15</v>
      </c>
      <c r="G28" s="86">
        <f>'T9'!I40+'T5'!D7*31+'T5'!D8*21+'T5'!D9*11+'T5'!D10*62</f>
        <v>6282.4100000000008</v>
      </c>
      <c r="H28" s="85">
        <f>'T9'!I52+'T5'!E8*21+'T5'!E9*11+'T5'!E10*62</f>
        <v>1510.1999999999998</v>
      </c>
      <c r="I28" s="85">
        <f>'T9'!I56+'T5'!F8*21+'T5'!F11*77</f>
        <v>606.81999999999994</v>
      </c>
      <c r="J28" s="88">
        <f t="shared" si="1"/>
        <v>9789.5800000000017</v>
      </c>
    </row>
    <row r="29" spans="1:13" ht="27.75" customHeight="1" x14ac:dyDescent="0.25">
      <c r="A29" s="49">
        <f t="shared" si="0"/>
        <v>23</v>
      </c>
      <c r="B29" s="133" t="s">
        <v>481</v>
      </c>
      <c r="C29" s="133"/>
      <c r="D29" s="133"/>
      <c r="E29" s="49" t="s">
        <v>229</v>
      </c>
      <c r="F29" s="85">
        <f>'T9'!K12+'T5'!C8*39+'T5'!C9*20+'T5'!C11*149</f>
        <v>1169.72</v>
      </c>
      <c r="G29" s="86">
        <f>'T9'!K40+'T5'!D7*42+'T5'!D8*39+'T5'!D9*20+'T5'!D10*75</f>
        <v>4306.46</v>
      </c>
      <c r="H29" s="85">
        <f>'T9'!K52+'T5'!E8*39+'T5'!E9*20+'T5'!E10*75</f>
        <v>1207.9000000000001</v>
      </c>
      <c r="I29" s="85">
        <f>'T9'!K56+'T5'!F8*39+'T5'!F11*149</f>
        <v>518.98</v>
      </c>
      <c r="J29" s="88">
        <f t="shared" si="1"/>
        <v>7203.0599999999995</v>
      </c>
    </row>
    <row r="30" spans="1:13" ht="27.75" customHeight="1" x14ac:dyDescent="0.25">
      <c r="A30" s="49">
        <f t="shared" si="0"/>
        <v>24</v>
      </c>
      <c r="B30" s="133" t="s">
        <v>479</v>
      </c>
      <c r="C30" s="133"/>
      <c r="D30" s="133"/>
      <c r="E30" s="49" t="s">
        <v>467</v>
      </c>
      <c r="F30" s="49">
        <f>'T9'!L12+'T5'!C8*110+'T5'!C9*22+'T5'!C11*361</f>
        <v>6692</v>
      </c>
      <c r="G30" s="87">
        <f>'T9'!L40+'T5'!D7*150+'T5'!D8*110+'T5'!D9*55+'T5'!D10*250</f>
        <v>30621</v>
      </c>
      <c r="H30" s="49">
        <f>'T9'!L52+'T5'!E8*110+'T5'!E9*55+'T5'!E10*250</f>
        <v>7302</v>
      </c>
      <c r="I30" s="85">
        <f>'T9'!K56+'T5'!F8*110+'T5'!F11*361</f>
        <v>801.98</v>
      </c>
      <c r="J30" s="88">
        <f t="shared" si="1"/>
        <v>45416.98</v>
      </c>
    </row>
    <row r="31" spans="1:13" ht="27" customHeight="1" x14ac:dyDescent="0.25">
      <c r="A31" s="49">
        <f t="shared" si="0"/>
        <v>25</v>
      </c>
      <c r="B31" s="133" t="s">
        <v>480</v>
      </c>
      <c r="C31" s="133"/>
      <c r="D31" s="133"/>
      <c r="E31" s="49" t="s">
        <v>32</v>
      </c>
      <c r="F31" s="49">
        <v>1</v>
      </c>
      <c r="G31" s="87">
        <v>2</v>
      </c>
      <c r="H31" s="49">
        <v>2</v>
      </c>
      <c r="I31" s="49">
        <v>1</v>
      </c>
      <c r="J31" s="70">
        <f t="shared" si="1"/>
        <v>6</v>
      </c>
    </row>
    <row r="32" spans="1:13" ht="66" customHeight="1" x14ac:dyDescent="0.25">
      <c r="A32" s="49">
        <f t="shared" si="0"/>
        <v>26</v>
      </c>
      <c r="B32" s="133" t="s">
        <v>490</v>
      </c>
      <c r="C32" s="133"/>
      <c r="D32" s="133"/>
      <c r="E32" s="49" t="s">
        <v>32</v>
      </c>
      <c r="F32" s="49">
        <v>1</v>
      </c>
      <c r="G32" s="87">
        <v>2</v>
      </c>
      <c r="H32" s="49">
        <v>1</v>
      </c>
      <c r="I32" s="49"/>
      <c r="J32" s="70">
        <f t="shared" si="1"/>
        <v>4</v>
      </c>
    </row>
    <row r="33" spans="1:9" x14ac:dyDescent="0.25">
      <c r="A33" s="16" t="s">
        <v>72</v>
      </c>
      <c r="B33" s="83"/>
      <c r="C33" s="83"/>
      <c r="D33" s="83"/>
      <c r="E33" s="83"/>
      <c r="F33" s="83"/>
      <c r="G33" s="83"/>
      <c r="H33" s="7"/>
      <c r="I33" s="7"/>
    </row>
    <row r="34" spans="1:9" x14ac:dyDescent="0.25">
      <c r="A34" s="83">
        <v>1</v>
      </c>
      <c r="B34" s="16" t="s">
        <v>482</v>
      </c>
      <c r="C34" s="16"/>
      <c r="D34" s="16"/>
      <c r="E34" s="16"/>
      <c r="F34" s="16"/>
      <c r="G34" s="16"/>
      <c r="H34" s="16"/>
      <c r="I34" s="16"/>
    </row>
    <row r="35" spans="1:9" x14ac:dyDescent="0.25">
      <c r="A35" s="83">
        <v>2</v>
      </c>
      <c r="B35" s="16" t="s">
        <v>483</v>
      </c>
      <c r="C35" s="16"/>
      <c r="D35" s="16"/>
      <c r="E35" s="16"/>
      <c r="F35" s="16"/>
      <c r="G35" s="16"/>
      <c r="H35" s="16"/>
      <c r="I35" s="16"/>
    </row>
    <row r="36" spans="1:9" x14ac:dyDescent="0.25">
      <c r="A36" s="7"/>
      <c r="B36" s="16"/>
      <c r="C36" s="16"/>
      <c r="D36" s="16"/>
      <c r="E36" s="16"/>
      <c r="F36" s="16"/>
      <c r="G36" s="16"/>
      <c r="H36" s="16"/>
      <c r="I36" s="16"/>
    </row>
    <row r="37" spans="1:9" x14ac:dyDescent="0.25">
      <c r="A37" s="7"/>
      <c r="B37" s="16"/>
      <c r="C37" s="16"/>
      <c r="D37" s="16"/>
      <c r="E37" s="16"/>
      <c r="F37" s="16"/>
      <c r="G37" s="16"/>
      <c r="H37" s="16"/>
      <c r="I37" s="16"/>
    </row>
    <row r="38" spans="1:9" x14ac:dyDescent="0.25">
      <c r="A38" s="68"/>
      <c r="B38" s="6"/>
      <c r="C38" s="6"/>
      <c r="D38" s="6"/>
      <c r="E38" s="6"/>
      <c r="F38" s="6"/>
      <c r="G38" s="6"/>
      <c r="H38" s="6"/>
      <c r="I38" s="6"/>
    </row>
  </sheetData>
  <mergeCells count="32">
    <mergeCell ref="B20:G20"/>
    <mergeCell ref="B22:G22"/>
    <mergeCell ref="B23:G23"/>
    <mergeCell ref="B24:G24"/>
    <mergeCell ref="B21:G21"/>
    <mergeCell ref="B19:I19"/>
    <mergeCell ref="B32:D32"/>
    <mergeCell ref="B9:G9"/>
    <mergeCell ref="B27:D27"/>
    <mergeCell ref="B28:D28"/>
    <mergeCell ref="B30:D30"/>
    <mergeCell ref="B31:D31"/>
    <mergeCell ref="B29:D29"/>
    <mergeCell ref="B25:I25"/>
    <mergeCell ref="B26:D26"/>
    <mergeCell ref="B15:G15"/>
    <mergeCell ref="B16:G16"/>
    <mergeCell ref="B17:G17"/>
    <mergeCell ref="B18:G18"/>
    <mergeCell ref="B11:G11"/>
    <mergeCell ref="B12:G12"/>
    <mergeCell ref="B7:G7"/>
    <mergeCell ref="B8:G8"/>
    <mergeCell ref="B10:G10"/>
    <mergeCell ref="B13:G13"/>
    <mergeCell ref="B14:G14"/>
    <mergeCell ref="B6:G6"/>
    <mergeCell ref="A3:A4"/>
    <mergeCell ref="B3:G4"/>
    <mergeCell ref="H3:H4"/>
    <mergeCell ref="I3:I4"/>
    <mergeCell ref="B5:G5"/>
  </mergeCells>
  <phoneticPr fontId="1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62242-835D-4636-B9DB-89A883A9DD64}">
  <dimension ref="A1:J12"/>
  <sheetViews>
    <sheetView workbookViewId="0">
      <selection activeCell="A3" sqref="A3:J12"/>
    </sheetView>
  </sheetViews>
  <sheetFormatPr defaultRowHeight="15" x14ac:dyDescent="0.25"/>
  <cols>
    <col min="1" max="1" width="5" customWidth="1"/>
    <col min="2" max="2" width="26.28515625" customWidth="1"/>
    <col min="3" max="3" width="6.28515625" customWidth="1"/>
    <col min="9" max="9" width="12.28515625" customWidth="1"/>
    <col min="10" max="10" width="14.28515625" customWidth="1"/>
  </cols>
  <sheetData>
    <row r="1" spans="1:10" ht="15.75" x14ac:dyDescent="0.25">
      <c r="A1" s="71" t="s">
        <v>544</v>
      </c>
      <c r="B1" s="80"/>
      <c r="C1" s="80"/>
    </row>
    <row r="2" spans="1:10" x14ac:dyDescent="0.25">
      <c r="A2" s="80"/>
      <c r="B2" s="80"/>
      <c r="C2" s="80"/>
    </row>
    <row r="3" spans="1:10" x14ac:dyDescent="0.25">
      <c r="A3" s="133" t="s">
        <v>0</v>
      </c>
      <c r="B3" s="130" t="s">
        <v>320</v>
      </c>
      <c r="C3" s="130"/>
      <c r="D3" s="130"/>
      <c r="E3" s="130"/>
      <c r="F3" s="130"/>
      <c r="G3" s="130"/>
      <c r="H3" s="130"/>
      <c r="I3" s="130"/>
      <c r="J3" s="130"/>
    </row>
    <row r="4" spans="1:10" x14ac:dyDescent="0.25">
      <c r="A4" s="133"/>
      <c r="B4" s="130" t="s">
        <v>321</v>
      </c>
      <c r="C4" s="133" t="s">
        <v>322</v>
      </c>
      <c r="D4" s="130"/>
      <c r="E4" s="130"/>
      <c r="F4" s="130"/>
      <c r="G4" s="130"/>
      <c r="H4" s="130"/>
      <c r="I4" s="133" t="s">
        <v>323</v>
      </c>
      <c r="J4" s="133" t="s">
        <v>324</v>
      </c>
    </row>
    <row r="5" spans="1:10" x14ac:dyDescent="0.25">
      <c r="A5" s="133"/>
      <c r="B5" s="130"/>
      <c r="C5" s="133"/>
      <c r="D5" s="150"/>
      <c r="E5" s="150"/>
      <c r="F5" s="150"/>
      <c r="G5" s="151"/>
      <c r="H5" s="130" t="s">
        <v>325</v>
      </c>
      <c r="I5" s="133"/>
      <c r="J5" s="133"/>
    </row>
    <row r="6" spans="1:10" x14ac:dyDescent="0.25">
      <c r="A6" s="133"/>
      <c r="B6" s="130"/>
      <c r="C6" s="133"/>
      <c r="D6" s="2" t="s">
        <v>60</v>
      </c>
      <c r="E6" s="2" t="s">
        <v>227</v>
      </c>
      <c r="F6" s="2" t="s">
        <v>326</v>
      </c>
      <c r="G6" s="2" t="s">
        <v>262</v>
      </c>
      <c r="H6" s="130"/>
      <c r="I6" s="133"/>
      <c r="J6" s="133"/>
    </row>
    <row r="7" spans="1:10" x14ac:dyDescent="0.25">
      <c r="A7" s="2">
        <v>1</v>
      </c>
      <c r="B7" s="2" t="s">
        <v>329</v>
      </c>
      <c r="C7" s="2" t="s">
        <v>330</v>
      </c>
      <c r="D7" s="2">
        <v>1</v>
      </c>
      <c r="E7" s="2">
        <v>1</v>
      </c>
      <c r="F7" s="2">
        <v>1</v>
      </c>
      <c r="G7" s="2">
        <v>1</v>
      </c>
      <c r="H7" s="2">
        <f t="shared" ref="H7:H12" si="0">SUM(D7:G7)</f>
        <v>4</v>
      </c>
      <c r="I7" s="148" t="s">
        <v>645</v>
      </c>
      <c r="J7" s="148" t="s">
        <v>646</v>
      </c>
    </row>
    <row r="8" spans="1:10" ht="25.5" x14ac:dyDescent="0.25">
      <c r="A8" s="2">
        <f t="shared" ref="A8:A12" si="1">A7+1</f>
        <v>2</v>
      </c>
      <c r="B8" s="49" t="s">
        <v>331</v>
      </c>
      <c r="C8" s="2" t="s">
        <v>330</v>
      </c>
      <c r="D8" s="2">
        <v>1</v>
      </c>
      <c r="E8" s="2">
        <v>1</v>
      </c>
      <c r="F8" s="2"/>
      <c r="G8" s="2"/>
      <c r="H8" s="2">
        <f t="shared" si="0"/>
        <v>2</v>
      </c>
      <c r="I8" s="148"/>
      <c r="J8" s="148"/>
    </row>
    <row r="9" spans="1:10" ht="38.25" x14ac:dyDescent="0.25">
      <c r="A9" s="2">
        <f t="shared" si="1"/>
        <v>3</v>
      </c>
      <c r="B9" s="49" t="s">
        <v>332</v>
      </c>
      <c r="C9" s="2" t="s">
        <v>330</v>
      </c>
      <c r="D9" s="2">
        <v>1</v>
      </c>
      <c r="E9" s="2">
        <v>1</v>
      </c>
      <c r="F9" s="2"/>
      <c r="G9" s="2">
        <v>1</v>
      </c>
      <c r="H9" s="2">
        <f t="shared" si="0"/>
        <v>3</v>
      </c>
      <c r="I9" s="148"/>
      <c r="J9" s="148"/>
    </row>
    <row r="10" spans="1:10" ht="63.75" x14ac:dyDescent="0.25">
      <c r="A10" s="2">
        <f t="shared" si="1"/>
        <v>4</v>
      </c>
      <c r="B10" s="49" t="s">
        <v>333</v>
      </c>
      <c r="C10" s="2" t="s">
        <v>328</v>
      </c>
      <c r="D10" s="2">
        <v>1.1399999999999999</v>
      </c>
      <c r="E10" s="2">
        <v>5.0999999999999996</v>
      </c>
      <c r="F10" s="2">
        <v>1.2</v>
      </c>
      <c r="G10" s="2">
        <v>0.47</v>
      </c>
      <c r="H10" s="2">
        <f t="shared" si="0"/>
        <v>7.9099999999999993</v>
      </c>
      <c r="I10" s="148"/>
      <c r="J10" s="148"/>
    </row>
    <row r="11" spans="1:10" ht="51" x14ac:dyDescent="0.25">
      <c r="A11" s="2">
        <f t="shared" si="1"/>
        <v>5</v>
      </c>
      <c r="B11" s="49" t="s">
        <v>334</v>
      </c>
      <c r="C11" s="2" t="s">
        <v>330</v>
      </c>
      <c r="D11" s="2">
        <v>1</v>
      </c>
      <c r="E11" s="2">
        <v>1</v>
      </c>
      <c r="F11" s="2">
        <v>1</v>
      </c>
      <c r="G11" s="2">
        <v>1</v>
      </c>
      <c r="H11" s="2">
        <f t="shared" si="0"/>
        <v>4</v>
      </c>
      <c r="I11" s="148"/>
      <c r="J11" s="148"/>
    </row>
    <row r="12" spans="1:10" ht="38.25" x14ac:dyDescent="0.25">
      <c r="A12" s="2">
        <f t="shared" si="1"/>
        <v>6</v>
      </c>
      <c r="B12" s="49" t="s">
        <v>335</v>
      </c>
      <c r="C12" s="2" t="s">
        <v>330</v>
      </c>
      <c r="D12" s="2">
        <v>1</v>
      </c>
      <c r="E12" s="2"/>
      <c r="F12" s="2"/>
      <c r="G12" s="2">
        <v>1</v>
      </c>
      <c r="H12" s="2">
        <f t="shared" si="0"/>
        <v>2</v>
      </c>
      <c r="I12" s="149"/>
      <c r="J12" s="149"/>
    </row>
  </sheetData>
  <mergeCells count="11">
    <mergeCell ref="I7:I12"/>
    <mergeCell ref="J7:J12"/>
    <mergeCell ref="A3:A6"/>
    <mergeCell ref="B3:J3"/>
    <mergeCell ref="B4:B6"/>
    <mergeCell ref="C4:C6"/>
    <mergeCell ref="D4:H4"/>
    <mergeCell ref="I4:I6"/>
    <mergeCell ref="J4:J6"/>
    <mergeCell ref="D5:G5"/>
    <mergeCell ref="H5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DB987-BBC9-490A-AB86-5FEB2F7A5962}">
  <dimension ref="A1:H32"/>
  <sheetViews>
    <sheetView workbookViewId="0">
      <selection activeCell="J7" sqref="J7"/>
    </sheetView>
  </sheetViews>
  <sheetFormatPr defaultRowHeight="15" x14ac:dyDescent="0.25"/>
  <cols>
    <col min="1" max="1" width="5.28515625" customWidth="1"/>
    <col min="2" max="2" width="9.5703125" customWidth="1"/>
    <col min="3" max="3" width="11.5703125" customWidth="1"/>
    <col min="4" max="4" width="10.85546875" customWidth="1"/>
    <col min="5" max="5" width="33.28515625" customWidth="1"/>
    <col min="6" max="6" width="10.28515625" customWidth="1"/>
    <col min="7" max="7" width="9.5703125" bestFit="1" customWidth="1"/>
  </cols>
  <sheetData>
    <row r="1" spans="1:8" ht="15.75" x14ac:dyDescent="0.25">
      <c r="A1" s="71" t="s">
        <v>545</v>
      </c>
    </row>
    <row r="2" spans="1:8" ht="15.75" thickBot="1" x14ac:dyDescent="0.3"/>
    <row r="3" spans="1:8" ht="15.75" thickBot="1" x14ac:dyDescent="0.3">
      <c r="A3" s="152" t="s">
        <v>0</v>
      </c>
      <c r="B3" s="154" t="s">
        <v>282</v>
      </c>
      <c r="C3" s="155"/>
      <c r="D3" s="155"/>
      <c r="E3" s="155"/>
      <c r="F3" s="155"/>
      <c r="G3" s="155"/>
      <c r="H3" s="156"/>
    </row>
    <row r="4" spans="1:8" ht="15.75" thickBot="1" x14ac:dyDescent="0.3">
      <c r="A4" s="153"/>
      <c r="B4" s="157" t="s">
        <v>283</v>
      </c>
      <c r="C4" s="160" t="s">
        <v>284</v>
      </c>
      <c r="D4" s="163" t="s">
        <v>285</v>
      </c>
      <c r="E4" s="166" t="s">
        <v>286</v>
      </c>
      <c r="F4" s="167"/>
      <c r="G4" s="168"/>
      <c r="H4" s="160" t="s">
        <v>287</v>
      </c>
    </row>
    <row r="5" spans="1:8" ht="15.75" thickBot="1" x14ac:dyDescent="0.3">
      <c r="A5" s="153"/>
      <c r="B5" s="158"/>
      <c r="C5" s="161"/>
      <c r="D5" s="164"/>
      <c r="E5" s="157" t="s">
        <v>285</v>
      </c>
      <c r="F5" s="154" t="s">
        <v>288</v>
      </c>
      <c r="G5" s="156"/>
      <c r="H5" s="161"/>
    </row>
    <row r="6" spans="1:8" ht="15.75" thickBot="1" x14ac:dyDescent="0.3">
      <c r="A6" s="153"/>
      <c r="B6" s="159"/>
      <c r="C6" s="162"/>
      <c r="D6" s="165"/>
      <c r="E6" s="159"/>
      <c r="F6" s="73" t="s">
        <v>289</v>
      </c>
      <c r="G6" s="72" t="s">
        <v>290</v>
      </c>
      <c r="H6" s="162"/>
    </row>
    <row r="7" spans="1:8" ht="38.25" x14ac:dyDescent="0.25">
      <c r="A7" s="8">
        <v>1</v>
      </c>
      <c r="B7" s="9" t="s">
        <v>291</v>
      </c>
      <c r="C7" s="9" t="s">
        <v>292</v>
      </c>
      <c r="D7" s="18" t="s">
        <v>293</v>
      </c>
      <c r="E7" s="48" t="s">
        <v>294</v>
      </c>
      <c r="F7" s="74">
        <v>6555726.9400000004</v>
      </c>
      <c r="G7" s="74">
        <v>504353.52</v>
      </c>
      <c r="H7" s="75">
        <v>22.33</v>
      </c>
    </row>
    <row r="8" spans="1:8" ht="38.25" x14ac:dyDescent="0.25">
      <c r="A8" s="3">
        <f>A7+1</f>
        <v>2</v>
      </c>
      <c r="B8" s="4" t="s">
        <v>295</v>
      </c>
      <c r="C8" s="2" t="s">
        <v>292</v>
      </c>
      <c r="D8" s="19" t="s">
        <v>296</v>
      </c>
      <c r="E8" s="49" t="s">
        <v>297</v>
      </c>
      <c r="F8" s="23">
        <v>6555789.0599999996</v>
      </c>
      <c r="G8" s="23">
        <v>505615.98</v>
      </c>
      <c r="H8" s="5">
        <v>27.49</v>
      </c>
    </row>
    <row r="9" spans="1:8" ht="25.5" x14ac:dyDescent="0.25">
      <c r="A9" s="3">
        <f t="shared" ref="A9:A15" si="0">A8+1</f>
        <v>3</v>
      </c>
      <c r="B9" s="2" t="s">
        <v>298</v>
      </c>
      <c r="C9" s="2" t="s">
        <v>292</v>
      </c>
      <c r="D9" s="19" t="s">
        <v>296</v>
      </c>
      <c r="E9" s="49" t="s">
        <v>299</v>
      </c>
      <c r="F9" s="23">
        <v>6555815.1299999999</v>
      </c>
      <c r="G9" s="23">
        <v>507249.64</v>
      </c>
      <c r="H9" s="5">
        <v>30.46</v>
      </c>
    </row>
    <row r="10" spans="1:8" ht="25.5" x14ac:dyDescent="0.25">
      <c r="A10" s="3">
        <f t="shared" si="0"/>
        <v>4</v>
      </c>
      <c r="B10" s="4" t="s">
        <v>300</v>
      </c>
      <c r="C10" s="2" t="s">
        <v>292</v>
      </c>
      <c r="D10" s="19" t="s">
        <v>296</v>
      </c>
      <c r="E10" s="49" t="s">
        <v>301</v>
      </c>
      <c r="F10" s="23">
        <v>6556414</v>
      </c>
      <c r="G10" s="23">
        <v>507996.56</v>
      </c>
      <c r="H10" s="5">
        <v>29.69</v>
      </c>
    </row>
    <row r="11" spans="1:8" ht="25.5" x14ac:dyDescent="0.25">
      <c r="A11" s="3">
        <f t="shared" si="0"/>
        <v>5</v>
      </c>
      <c r="B11" s="2" t="s">
        <v>302</v>
      </c>
      <c r="C11" s="2" t="s">
        <v>292</v>
      </c>
      <c r="D11" s="76" t="s">
        <v>303</v>
      </c>
      <c r="E11" s="49" t="s">
        <v>304</v>
      </c>
      <c r="F11" s="23">
        <v>6556432.3799999999</v>
      </c>
      <c r="G11" s="23">
        <v>508493.39</v>
      </c>
      <c r="H11" s="5">
        <v>30.57</v>
      </c>
    </row>
    <row r="12" spans="1:8" ht="25.5" x14ac:dyDescent="0.25">
      <c r="A12" s="3">
        <f t="shared" si="0"/>
        <v>6</v>
      </c>
      <c r="B12" s="4" t="s">
        <v>305</v>
      </c>
      <c r="C12" s="2" t="s">
        <v>292</v>
      </c>
      <c r="D12" s="19" t="s">
        <v>296</v>
      </c>
      <c r="E12" s="49" t="s">
        <v>306</v>
      </c>
      <c r="F12" s="23">
        <v>6556467.0700000003</v>
      </c>
      <c r="G12" s="23">
        <v>509496.17</v>
      </c>
      <c r="H12" s="5">
        <v>30.53</v>
      </c>
    </row>
    <row r="13" spans="1:8" ht="51" x14ac:dyDescent="0.25">
      <c r="A13" s="3">
        <f t="shared" si="0"/>
        <v>7</v>
      </c>
      <c r="B13" s="4" t="s">
        <v>307</v>
      </c>
      <c r="C13" s="4" t="s">
        <v>308</v>
      </c>
      <c r="D13" s="76" t="s">
        <v>309</v>
      </c>
      <c r="E13" s="77" t="s">
        <v>310</v>
      </c>
      <c r="F13" s="23">
        <v>6555717.3300000001</v>
      </c>
      <c r="G13" s="23">
        <v>509492.26</v>
      </c>
      <c r="H13" s="5">
        <v>36.380000000000003</v>
      </c>
    </row>
    <row r="14" spans="1:8" ht="38.25" x14ac:dyDescent="0.25">
      <c r="A14" s="3">
        <f t="shared" si="0"/>
        <v>8</v>
      </c>
      <c r="B14" s="4" t="s">
        <v>311</v>
      </c>
      <c r="C14" s="2" t="s">
        <v>292</v>
      </c>
      <c r="D14" s="19" t="s">
        <v>296</v>
      </c>
      <c r="E14" s="49" t="s">
        <v>312</v>
      </c>
      <c r="F14" s="23">
        <v>6555347.6299999999</v>
      </c>
      <c r="G14" s="23">
        <v>508523.18</v>
      </c>
      <c r="H14" s="5">
        <v>39.56</v>
      </c>
    </row>
    <row r="15" spans="1:8" ht="38.25" x14ac:dyDescent="0.25">
      <c r="A15" s="3">
        <f t="shared" si="0"/>
        <v>9</v>
      </c>
      <c r="B15" s="4" t="s">
        <v>313</v>
      </c>
      <c r="C15" s="2" t="s">
        <v>292</v>
      </c>
      <c r="D15" s="19" t="s">
        <v>296</v>
      </c>
      <c r="E15" s="49" t="s">
        <v>314</v>
      </c>
      <c r="F15" s="23">
        <v>6556415.0599999996</v>
      </c>
      <c r="G15" s="23">
        <v>504473.07</v>
      </c>
      <c r="H15" s="5">
        <v>22.97</v>
      </c>
    </row>
    <row r="16" spans="1:8" ht="26.25" thickBot="1" x14ac:dyDescent="0.3">
      <c r="A16" s="10">
        <f>A15+1</f>
        <v>10</v>
      </c>
      <c r="B16" s="11" t="s">
        <v>315</v>
      </c>
      <c r="C16" s="11" t="s">
        <v>292</v>
      </c>
      <c r="D16" s="20" t="s">
        <v>296</v>
      </c>
      <c r="E16" s="78" t="s">
        <v>316</v>
      </c>
      <c r="F16" s="79">
        <v>6554570.3700000001</v>
      </c>
      <c r="G16" s="79">
        <v>504246.09</v>
      </c>
      <c r="H16" s="21">
        <v>20.74</v>
      </c>
    </row>
    <row r="17" spans="1:8" x14ac:dyDescent="0.25">
      <c r="A17" s="6" t="s">
        <v>317</v>
      </c>
    </row>
    <row r="18" spans="1:8" x14ac:dyDescent="0.25">
      <c r="A18" s="68">
        <v>1</v>
      </c>
      <c r="B18" t="s">
        <v>318</v>
      </c>
      <c r="C18" s="16"/>
      <c r="D18" s="16"/>
      <c r="E18" s="16"/>
      <c r="F18" s="16"/>
      <c r="G18" s="16"/>
      <c r="H18" s="16"/>
    </row>
    <row r="19" spans="1:8" x14ac:dyDescent="0.25">
      <c r="A19" s="68">
        <v>2</v>
      </c>
      <c r="B19" t="s">
        <v>319</v>
      </c>
      <c r="C19" s="16"/>
      <c r="D19" s="16"/>
      <c r="E19" s="16"/>
      <c r="F19" s="16"/>
      <c r="G19" s="16"/>
      <c r="H19" s="16"/>
    </row>
    <row r="20" spans="1:8" x14ac:dyDescent="0.25">
      <c r="A20" s="68"/>
      <c r="B20" s="16"/>
      <c r="C20" s="16"/>
      <c r="D20" s="16"/>
      <c r="E20" s="16"/>
      <c r="F20" s="16"/>
      <c r="G20" s="16"/>
      <c r="H20" s="16"/>
    </row>
    <row r="21" spans="1:8" x14ac:dyDescent="0.25">
      <c r="A21" s="68"/>
      <c r="B21" s="16"/>
      <c r="C21" s="16"/>
      <c r="D21" s="16"/>
      <c r="E21" s="16"/>
      <c r="F21" s="16"/>
      <c r="G21" s="16"/>
      <c r="H21" s="16"/>
    </row>
    <row r="22" spans="1:8" x14ac:dyDescent="0.25">
      <c r="A22" s="68"/>
      <c r="B22" s="16"/>
      <c r="C22" s="16"/>
      <c r="D22" s="16"/>
      <c r="E22" s="16"/>
      <c r="F22" s="16"/>
      <c r="G22" s="16"/>
      <c r="H22" s="16"/>
    </row>
    <row r="23" spans="1:8" x14ac:dyDescent="0.25">
      <c r="A23" s="68"/>
      <c r="B23" s="16"/>
      <c r="C23" s="16"/>
      <c r="D23" s="16"/>
      <c r="E23" s="16"/>
      <c r="F23" s="16"/>
      <c r="G23" s="16"/>
      <c r="H23" s="16"/>
    </row>
    <row r="24" spans="1:8" x14ac:dyDescent="0.25">
      <c r="A24" s="68"/>
      <c r="B24" s="16"/>
      <c r="C24" s="16"/>
      <c r="D24" s="16"/>
      <c r="E24" s="16"/>
      <c r="F24" s="16"/>
      <c r="G24" s="16"/>
      <c r="H24" s="16"/>
    </row>
    <row r="25" spans="1:8" x14ac:dyDescent="0.25">
      <c r="A25" s="68"/>
      <c r="B25" s="16"/>
      <c r="C25" s="16"/>
      <c r="D25" s="16"/>
      <c r="E25" s="16"/>
      <c r="F25" s="16"/>
      <c r="G25" s="16"/>
      <c r="H25" s="16"/>
    </row>
    <row r="26" spans="1:8" x14ac:dyDescent="0.25">
      <c r="A26" s="68"/>
      <c r="B26" s="16"/>
      <c r="C26" s="16"/>
      <c r="D26" s="16"/>
      <c r="E26" s="16"/>
      <c r="F26" s="16"/>
      <c r="G26" s="16"/>
      <c r="H26" s="16"/>
    </row>
    <row r="27" spans="1:8" x14ac:dyDescent="0.25">
      <c r="A27" s="68"/>
      <c r="B27" s="16"/>
      <c r="C27" s="16"/>
      <c r="D27" s="16"/>
      <c r="E27" s="16"/>
      <c r="F27" s="16"/>
      <c r="G27" s="16"/>
      <c r="H27" s="16"/>
    </row>
    <row r="28" spans="1:8" x14ac:dyDescent="0.25">
      <c r="A28" s="68"/>
      <c r="B28" s="16"/>
      <c r="C28" s="16"/>
      <c r="D28" s="16"/>
      <c r="E28" s="16"/>
      <c r="F28" s="16"/>
      <c r="G28" s="16"/>
      <c r="H28" s="16"/>
    </row>
    <row r="29" spans="1:8" x14ac:dyDescent="0.25">
      <c r="A29" s="68"/>
      <c r="B29" s="16"/>
      <c r="C29" s="16"/>
      <c r="D29" s="16"/>
      <c r="E29" s="16"/>
      <c r="F29" s="16"/>
      <c r="G29" s="16"/>
      <c r="H29" s="16"/>
    </row>
    <row r="30" spans="1:8" x14ac:dyDescent="0.25">
      <c r="A30" s="68"/>
      <c r="B30" s="16"/>
      <c r="C30" s="16"/>
      <c r="D30" s="16"/>
      <c r="E30" s="16"/>
      <c r="F30" s="16"/>
      <c r="G30" s="16"/>
      <c r="H30" s="16"/>
    </row>
    <row r="31" spans="1:8" x14ac:dyDescent="0.25">
      <c r="B31" s="16"/>
      <c r="C31" s="16"/>
      <c r="D31" s="16"/>
      <c r="E31" s="16"/>
      <c r="F31" s="16"/>
      <c r="G31" s="16"/>
      <c r="H31" s="16"/>
    </row>
    <row r="32" spans="1:8" x14ac:dyDescent="0.25">
      <c r="B32" s="16"/>
      <c r="C32" s="16"/>
      <c r="D32" s="16"/>
      <c r="E32" s="16"/>
      <c r="F32" s="16"/>
      <c r="G32" s="16"/>
      <c r="H32" s="16"/>
    </row>
  </sheetData>
  <mergeCells count="9">
    <mergeCell ref="A3:A6"/>
    <mergeCell ref="B3:H3"/>
    <mergeCell ref="B4:B6"/>
    <mergeCell ref="C4:C6"/>
    <mergeCell ref="D4:D6"/>
    <mergeCell ref="E4:G4"/>
    <mergeCell ref="H4:H6"/>
    <mergeCell ref="E5:E6"/>
    <mergeCell ref="F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71FDA-3DED-46C7-A183-FF94AE38D72F}">
  <dimension ref="A1:U43"/>
  <sheetViews>
    <sheetView workbookViewId="0">
      <selection activeCell="J3" sqref="J3:J8"/>
    </sheetView>
  </sheetViews>
  <sheetFormatPr defaultRowHeight="15" x14ac:dyDescent="0.25"/>
  <cols>
    <col min="1" max="1" width="3.7109375" customWidth="1"/>
    <col min="2" max="2" width="35.5703125" customWidth="1"/>
    <col min="3" max="5" width="8.140625" customWidth="1"/>
    <col min="6" max="6" width="9" customWidth="1"/>
    <col min="7" max="7" width="8.42578125" customWidth="1"/>
    <col min="8" max="8" width="6.5703125" customWidth="1"/>
    <col min="9" max="9" width="5.42578125" customWidth="1"/>
    <col min="10" max="10" width="4.85546875" customWidth="1"/>
    <col min="11" max="11" width="4.28515625" customWidth="1"/>
    <col min="12" max="12" width="5.7109375" customWidth="1"/>
    <col min="13" max="13" width="7.28515625" customWidth="1"/>
    <col min="14" max="14" width="6" customWidth="1"/>
  </cols>
  <sheetData>
    <row r="1" spans="1:21" ht="15.75" x14ac:dyDescent="0.25">
      <c r="A1" s="62" t="s">
        <v>546</v>
      </c>
      <c r="B1" s="62"/>
    </row>
    <row r="2" spans="1:21" ht="15.75" x14ac:dyDescent="0.25">
      <c r="B2" s="63"/>
      <c r="L2" s="64"/>
      <c r="M2" s="64"/>
      <c r="N2" s="64"/>
      <c r="O2" s="65"/>
    </row>
    <row r="3" spans="1:21" ht="25.5" x14ac:dyDescent="0.25">
      <c r="A3" s="133" t="s">
        <v>0</v>
      </c>
      <c r="B3" s="133" t="s">
        <v>271</v>
      </c>
      <c r="C3" s="49" t="s">
        <v>278</v>
      </c>
      <c r="D3" s="49" t="s">
        <v>279</v>
      </c>
      <c r="E3" s="49" t="s">
        <v>280</v>
      </c>
      <c r="F3" s="49" t="s">
        <v>281</v>
      </c>
      <c r="G3" s="169" t="s">
        <v>62</v>
      </c>
      <c r="H3" s="66"/>
      <c r="I3" s="66"/>
      <c r="J3" s="66"/>
      <c r="K3" s="66"/>
      <c r="L3" s="66"/>
      <c r="M3" s="66"/>
    </row>
    <row r="4" spans="1:21" x14ac:dyDescent="0.25">
      <c r="A4" s="133"/>
      <c r="B4" s="133"/>
      <c r="C4" s="49" t="s">
        <v>60</v>
      </c>
      <c r="D4" s="49" t="s">
        <v>61</v>
      </c>
      <c r="E4" s="49" t="s">
        <v>270</v>
      </c>
      <c r="F4" s="49" t="s">
        <v>134</v>
      </c>
      <c r="G4" s="169"/>
      <c r="H4" s="67"/>
      <c r="I4" s="66"/>
      <c r="J4" s="66"/>
      <c r="K4" s="66"/>
      <c r="L4" s="66"/>
      <c r="M4" s="66"/>
    </row>
    <row r="5" spans="1:21" x14ac:dyDescent="0.25">
      <c r="A5" s="57" t="s">
        <v>34</v>
      </c>
      <c r="B5" s="57" t="s">
        <v>35</v>
      </c>
      <c r="C5" s="56" t="s">
        <v>36</v>
      </c>
      <c r="D5" s="56" t="s">
        <v>37</v>
      </c>
      <c r="E5" s="56" t="s">
        <v>38</v>
      </c>
      <c r="F5" s="56" t="s">
        <v>39</v>
      </c>
      <c r="G5" s="56" t="s">
        <v>40</v>
      </c>
      <c r="H5" s="66"/>
      <c r="I5" s="66"/>
      <c r="J5" s="66"/>
      <c r="K5" s="66"/>
      <c r="L5" s="66"/>
      <c r="M5" s="66"/>
    </row>
    <row r="6" spans="1:21" x14ac:dyDescent="0.25">
      <c r="A6" s="2">
        <v>1</v>
      </c>
      <c r="B6" s="69" t="s">
        <v>274</v>
      </c>
      <c r="C6" s="49">
        <v>1</v>
      </c>
      <c r="D6" s="49">
        <v>2</v>
      </c>
      <c r="E6" s="49">
        <v>1</v>
      </c>
      <c r="F6" s="49"/>
      <c r="G6" s="70">
        <f>SUM(C6:F6)</f>
        <v>4</v>
      </c>
      <c r="H6" s="66"/>
      <c r="I6" s="66"/>
      <c r="J6" s="66"/>
      <c r="K6" s="66"/>
      <c r="L6" s="66"/>
      <c r="M6" s="66"/>
    </row>
    <row r="7" spans="1:21" x14ac:dyDescent="0.25">
      <c r="A7" s="2"/>
      <c r="B7" s="69" t="s">
        <v>272</v>
      </c>
      <c r="C7" s="49"/>
      <c r="D7" s="49">
        <v>1</v>
      </c>
      <c r="E7" s="49"/>
      <c r="F7" s="49"/>
      <c r="G7" s="70">
        <f>SUM(C7:F7)</f>
        <v>1</v>
      </c>
      <c r="H7" s="66"/>
      <c r="I7" s="66"/>
      <c r="J7" s="66"/>
      <c r="K7" s="66"/>
      <c r="L7" s="66"/>
      <c r="M7" s="66"/>
    </row>
    <row r="8" spans="1:21" x14ac:dyDescent="0.25">
      <c r="A8" s="2">
        <v>3</v>
      </c>
      <c r="B8" s="69" t="s">
        <v>273</v>
      </c>
      <c r="C8" s="49">
        <v>6</v>
      </c>
      <c r="D8" s="49">
        <v>20</v>
      </c>
      <c r="E8" s="49">
        <v>4</v>
      </c>
      <c r="F8" s="49">
        <v>1</v>
      </c>
      <c r="G8" s="70">
        <f>SUM(C8:F8)</f>
        <v>31</v>
      </c>
      <c r="H8" s="66"/>
      <c r="I8" s="66"/>
      <c r="J8" s="66"/>
      <c r="K8" s="66"/>
      <c r="L8" s="66"/>
      <c r="M8" s="66"/>
    </row>
    <row r="9" spans="1:21" ht="25.5" x14ac:dyDescent="0.25">
      <c r="A9" s="2">
        <v>4</v>
      </c>
      <c r="B9" s="69" t="s">
        <v>277</v>
      </c>
      <c r="C9" s="49">
        <v>3</v>
      </c>
      <c r="D9" s="49">
        <v>17</v>
      </c>
      <c r="E9" s="49">
        <v>4</v>
      </c>
      <c r="F9" s="49"/>
      <c r="G9" s="70">
        <f>SUM(C9:F9)</f>
        <v>24</v>
      </c>
      <c r="H9" s="66"/>
      <c r="I9" s="66"/>
      <c r="J9" s="66"/>
      <c r="K9" s="66"/>
      <c r="L9" s="66"/>
      <c r="M9" s="66"/>
    </row>
    <row r="10" spans="1:21" x14ac:dyDescent="0.25">
      <c r="A10" s="2">
        <v>6</v>
      </c>
      <c r="B10" s="69" t="s">
        <v>275</v>
      </c>
      <c r="C10" s="49"/>
      <c r="D10" s="49">
        <v>5</v>
      </c>
      <c r="E10" s="49">
        <v>2</v>
      </c>
      <c r="F10" s="49"/>
      <c r="G10" s="70">
        <f t="shared" ref="G10:G11" si="0">SUM(C10:F10)</f>
        <v>7</v>
      </c>
      <c r="H10" s="66"/>
      <c r="I10" s="66"/>
      <c r="J10" s="66"/>
      <c r="K10" s="66"/>
      <c r="L10" s="66"/>
      <c r="M10" s="66"/>
    </row>
    <row r="11" spans="1:21" x14ac:dyDescent="0.25">
      <c r="A11" s="2">
        <v>9</v>
      </c>
      <c r="B11" s="69" t="s">
        <v>276</v>
      </c>
      <c r="C11" s="49">
        <v>1</v>
      </c>
      <c r="D11" s="49"/>
      <c r="E11" s="49"/>
      <c r="F11" s="49">
        <v>1</v>
      </c>
      <c r="G11" s="70">
        <f t="shared" si="0"/>
        <v>2</v>
      </c>
      <c r="H11" s="66"/>
      <c r="I11" s="66"/>
      <c r="J11" s="66"/>
      <c r="K11" s="66"/>
      <c r="L11" s="66"/>
      <c r="M11" s="66"/>
    </row>
    <row r="12" spans="1:2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66"/>
      <c r="Q12" s="66"/>
      <c r="R12" s="66"/>
      <c r="S12" s="66"/>
      <c r="T12" s="66"/>
      <c r="U12" s="66"/>
    </row>
    <row r="13" spans="1:21" x14ac:dyDescent="0.25">
      <c r="A13" s="7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66"/>
      <c r="Q13" s="66"/>
      <c r="R13" s="66"/>
      <c r="S13" s="66"/>
      <c r="T13" s="66"/>
      <c r="U13" s="66"/>
    </row>
    <row r="14" spans="1:21" x14ac:dyDescent="0.25">
      <c r="A14" s="7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66"/>
      <c r="Q14" s="66"/>
      <c r="R14" s="66"/>
      <c r="S14" s="66"/>
      <c r="T14" s="66"/>
      <c r="U14" s="66"/>
    </row>
    <row r="15" spans="1:21" x14ac:dyDescent="0.25">
      <c r="A15" s="68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6"/>
      <c r="Q15" s="66"/>
      <c r="R15" s="66"/>
      <c r="S15" s="66"/>
      <c r="T15" s="66"/>
      <c r="U15" s="66"/>
    </row>
    <row r="16" spans="1:2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6"/>
      <c r="Q16" s="66"/>
      <c r="R16" s="66"/>
      <c r="S16" s="66"/>
      <c r="T16" s="66"/>
      <c r="U16" s="66"/>
    </row>
    <row r="17" spans="1:2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6"/>
      <c r="Q17" s="66"/>
      <c r="R17" s="66"/>
      <c r="S17" s="66"/>
      <c r="T17" s="66"/>
      <c r="U17" s="66"/>
    </row>
    <row r="18" spans="1:2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6"/>
      <c r="Q18" s="66"/>
      <c r="R18" s="66"/>
      <c r="S18" s="66"/>
      <c r="T18" s="66"/>
      <c r="U18" s="66"/>
    </row>
    <row r="19" spans="1:2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6"/>
      <c r="Q19" s="66"/>
      <c r="R19" s="66"/>
      <c r="S19" s="66"/>
      <c r="T19" s="66"/>
      <c r="U19" s="66"/>
    </row>
    <row r="20" spans="1:2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6"/>
      <c r="Q20" s="66"/>
      <c r="R20" s="66"/>
      <c r="S20" s="66"/>
      <c r="T20" s="66"/>
      <c r="U20" s="66"/>
    </row>
    <row r="21" spans="1:2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6"/>
      <c r="Q21" s="66"/>
      <c r="R21" s="66"/>
      <c r="S21" s="66"/>
      <c r="T21" s="66"/>
      <c r="U21" s="66"/>
    </row>
    <row r="22" spans="1:2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2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2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2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2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2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2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2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2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2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2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 x14ac:dyDescent="0.25">
      <c r="P34" s="6"/>
      <c r="Q34" s="6"/>
      <c r="R34" s="6"/>
    </row>
    <row r="35" spans="1:18" x14ac:dyDescent="0.25">
      <c r="P35" s="6"/>
      <c r="Q35" s="6"/>
      <c r="R35" s="6"/>
    </row>
    <row r="36" spans="1:18" x14ac:dyDescent="0.25">
      <c r="P36" s="6"/>
      <c r="Q36" s="6"/>
      <c r="R36" s="6"/>
    </row>
    <row r="37" spans="1:18" x14ac:dyDescent="0.25">
      <c r="P37" s="6"/>
      <c r="Q37" s="6"/>
      <c r="R37" s="6"/>
    </row>
    <row r="38" spans="1:18" x14ac:dyDescent="0.25">
      <c r="P38" s="6"/>
      <c r="Q38" s="6"/>
      <c r="R38" s="6"/>
    </row>
    <row r="39" spans="1:18" x14ac:dyDescent="0.25">
      <c r="P39" s="6"/>
      <c r="Q39" s="6"/>
      <c r="R39" s="6"/>
    </row>
    <row r="40" spans="1:18" x14ac:dyDescent="0.25">
      <c r="P40" s="6"/>
      <c r="Q40" s="6"/>
      <c r="R40" s="6"/>
    </row>
    <row r="41" spans="1:18" x14ac:dyDescent="0.25">
      <c r="P41" s="6"/>
      <c r="Q41" s="6"/>
      <c r="R41" s="6"/>
    </row>
    <row r="42" spans="1:18" x14ac:dyDescent="0.25">
      <c r="P42" s="6"/>
      <c r="Q42" s="6"/>
      <c r="R42" s="6"/>
    </row>
    <row r="43" spans="1:18" x14ac:dyDescent="0.25">
      <c r="P43" s="6"/>
      <c r="Q43" s="6"/>
      <c r="R43" s="6"/>
    </row>
  </sheetData>
  <mergeCells count="3">
    <mergeCell ref="A3:A4"/>
    <mergeCell ref="B3:B4"/>
    <mergeCell ref="G3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CE65A-DB63-4EBF-A10C-1AE28641C0D7}">
  <dimension ref="A1:AG111"/>
  <sheetViews>
    <sheetView topLeftCell="A7" zoomScale="70" zoomScaleNormal="70" workbookViewId="0">
      <selection activeCell="A3" sqref="A3:AD51"/>
    </sheetView>
  </sheetViews>
  <sheetFormatPr defaultRowHeight="15" x14ac:dyDescent="0.25"/>
  <cols>
    <col min="1" max="1" width="5.28515625" style="210" customWidth="1"/>
    <col min="2" max="2" width="8.5703125" style="210" customWidth="1"/>
    <col min="3" max="4" width="9.140625" style="210"/>
    <col min="5" max="5" width="10.85546875" style="210" customWidth="1"/>
    <col min="6" max="6" width="7.28515625" style="210" customWidth="1"/>
    <col min="7" max="17" width="9.140625" style="210"/>
    <col min="18" max="18" width="8.28515625" style="210" customWidth="1"/>
    <col min="19" max="20" width="9.140625" style="210"/>
    <col min="21" max="21" width="10.28515625" style="210" customWidth="1"/>
    <col min="22" max="22" width="9.5703125" style="210" customWidth="1"/>
    <col min="23" max="23" width="9.140625" style="210"/>
    <col min="24" max="24" width="9.5703125" style="210" customWidth="1"/>
    <col min="25" max="25" width="9.7109375" style="210" customWidth="1"/>
    <col min="26" max="27" width="9.140625" style="210"/>
    <col min="28" max="28" width="7.42578125" style="210" customWidth="1"/>
    <col min="29" max="29" width="9.140625" style="210"/>
    <col min="30" max="30" width="15.42578125" style="210" customWidth="1"/>
    <col min="31" max="16384" width="9.140625" style="210"/>
  </cols>
  <sheetData>
    <row r="1" spans="1:33" ht="15.75" x14ac:dyDescent="0.25">
      <c r="A1" s="209" t="s">
        <v>547</v>
      </c>
    </row>
    <row r="2" spans="1:33" x14ac:dyDescent="0.25">
      <c r="F2" s="211"/>
      <c r="L2" s="211"/>
      <c r="T2" s="211"/>
      <c r="AC2" s="211"/>
    </row>
    <row r="3" spans="1:33" ht="15" customHeight="1" x14ac:dyDescent="0.25">
      <c r="A3" s="212" t="s">
        <v>0</v>
      </c>
      <c r="B3" s="212" t="s">
        <v>3</v>
      </c>
      <c r="C3" s="212"/>
      <c r="D3" s="212"/>
      <c r="E3" s="212"/>
      <c r="F3" s="212"/>
      <c r="G3" s="212"/>
      <c r="H3" s="212"/>
      <c r="I3" s="212" t="s">
        <v>336</v>
      </c>
      <c r="J3" s="212"/>
      <c r="K3" s="212" t="s">
        <v>337</v>
      </c>
      <c r="L3" s="212"/>
      <c r="M3" s="212"/>
      <c r="N3" s="212"/>
      <c r="O3" s="212"/>
      <c r="P3" s="212" t="s">
        <v>448</v>
      </c>
      <c r="Q3" s="212"/>
      <c r="R3" s="212" t="s">
        <v>338</v>
      </c>
      <c r="S3" s="212" t="s">
        <v>339</v>
      </c>
      <c r="T3" s="212"/>
      <c r="U3" s="212"/>
      <c r="V3" s="212"/>
      <c r="W3" s="212"/>
      <c r="X3" s="212" t="s">
        <v>340</v>
      </c>
      <c r="Y3" s="212"/>
      <c r="Z3" s="212" t="s">
        <v>341</v>
      </c>
      <c r="AA3" s="212" t="s">
        <v>342</v>
      </c>
      <c r="AB3" s="212" t="s">
        <v>343</v>
      </c>
      <c r="AC3" s="212" t="s">
        <v>344</v>
      </c>
      <c r="AD3" s="212" t="s">
        <v>7</v>
      </c>
      <c r="AE3" s="213"/>
    </row>
    <row r="4" spans="1:33" ht="14.25" customHeight="1" x14ac:dyDescent="0.25">
      <c r="A4" s="212"/>
      <c r="B4" s="212" t="s">
        <v>8</v>
      </c>
      <c r="C4" s="212" t="s">
        <v>2</v>
      </c>
      <c r="D4" s="212" t="s">
        <v>345</v>
      </c>
      <c r="E4" s="212" t="s">
        <v>346</v>
      </c>
      <c r="F4" s="212" t="s">
        <v>15</v>
      </c>
      <c r="G4" s="212" t="s">
        <v>347</v>
      </c>
      <c r="H4" s="212" t="s">
        <v>348</v>
      </c>
      <c r="I4" s="212" t="s">
        <v>349</v>
      </c>
      <c r="J4" s="212" t="s">
        <v>350</v>
      </c>
      <c r="K4" s="212" t="s">
        <v>351</v>
      </c>
      <c r="L4" s="212"/>
      <c r="M4" s="212"/>
      <c r="N4" s="212" t="s">
        <v>352</v>
      </c>
      <c r="O4" s="212" t="s">
        <v>18</v>
      </c>
      <c r="P4" s="212"/>
      <c r="Q4" s="212"/>
      <c r="R4" s="212"/>
      <c r="S4" s="212" t="s">
        <v>353</v>
      </c>
      <c r="T4" s="212"/>
      <c r="U4" s="212" t="s">
        <v>354</v>
      </c>
      <c r="V4" s="212"/>
      <c r="W4" s="212" t="s">
        <v>355</v>
      </c>
      <c r="X4" s="212" t="s">
        <v>356</v>
      </c>
      <c r="Y4" s="212" t="s">
        <v>357</v>
      </c>
      <c r="Z4" s="212"/>
      <c r="AA4" s="212"/>
      <c r="AB4" s="212"/>
      <c r="AC4" s="212"/>
      <c r="AD4" s="212"/>
      <c r="AE4" s="213"/>
    </row>
    <row r="5" spans="1:33" ht="15" customHeight="1" x14ac:dyDescent="0.25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 t="s">
        <v>358</v>
      </c>
      <c r="L5" s="212"/>
      <c r="M5" s="212" t="s">
        <v>62</v>
      </c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3"/>
    </row>
    <row r="6" spans="1:33" ht="48" customHeight="1" x14ac:dyDescent="0.25">
      <c r="A6" s="212"/>
      <c r="B6" s="212"/>
      <c r="C6" s="212"/>
      <c r="D6" s="212"/>
      <c r="E6" s="212"/>
      <c r="F6" s="212"/>
      <c r="G6" s="212"/>
      <c r="H6" s="212"/>
      <c r="I6" s="212"/>
      <c r="J6" s="212"/>
      <c r="K6" s="214" t="s">
        <v>359</v>
      </c>
      <c r="L6" s="214" t="s">
        <v>360</v>
      </c>
      <c r="M6" s="212"/>
      <c r="N6" s="212"/>
      <c r="O6" s="212"/>
      <c r="P6" s="214" t="s">
        <v>361</v>
      </c>
      <c r="Q6" s="214" t="s">
        <v>362</v>
      </c>
      <c r="R6" s="212"/>
      <c r="S6" s="214" t="s">
        <v>363</v>
      </c>
      <c r="T6" s="214" t="s">
        <v>364</v>
      </c>
      <c r="U6" s="214" t="s">
        <v>365</v>
      </c>
      <c r="V6" s="214" t="s">
        <v>366</v>
      </c>
      <c r="W6" s="212"/>
      <c r="X6" s="212"/>
      <c r="Y6" s="212"/>
      <c r="Z6" s="212"/>
      <c r="AA6" s="212"/>
      <c r="AB6" s="212"/>
      <c r="AC6" s="212"/>
      <c r="AD6" s="212"/>
      <c r="AE6" s="213"/>
    </row>
    <row r="7" spans="1:33" ht="15" customHeight="1" x14ac:dyDescent="0.25">
      <c r="A7" s="212"/>
      <c r="B7" s="212"/>
      <c r="C7" s="212"/>
      <c r="D7" s="212"/>
      <c r="E7" s="212"/>
      <c r="F7" s="215" t="s">
        <v>29</v>
      </c>
      <c r="G7" s="215" t="s">
        <v>29</v>
      </c>
      <c r="H7" s="212"/>
      <c r="I7" s="215" t="s">
        <v>29</v>
      </c>
      <c r="J7" s="215" t="s">
        <v>367</v>
      </c>
      <c r="K7" s="215" t="s">
        <v>449</v>
      </c>
      <c r="L7" s="215" t="s">
        <v>449</v>
      </c>
      <c r="M7" s="215" t="s">
        <v>449</v>
      </c>
      <c r="N7" s="215" t="s">
        <v>449</v>
      </c>
      <c r="O7" s="215" t="s">
        <v>449</v>
      </c>
      <c r="P7" s="215" t="s">
        <v>449</v>
      </c>
      <c r="Q7" s="215" t="s">
        <v>449</v>
      </c>
      <c r="R7" s="215" t="s">
        <v>449</v>
      </c>
      <c r="S7" s="215" t="s">
        <v>327</v>
      </c>
      <c r="T7" s="215" t="s">
        <v>327</v>
      </c>
      <c r="U7" s="215" t="s">
        <v>327</v>
      </c>
      <c r="V7" s="215" t="s">
        <v>327</v>
      </c>
      <c r="W7" s="215" t="s">
        <v>327</v>
      </c>
      <c r="X7" s="215" t="s">
        <v>327</v>
      </c>
      <c r="Y7" s="215" t="s">
        <v>327</v>
      </c>
      <c r="Z7" s="215" t="s">
        <v>32</v>
      </c>
      <c r="AA7" s="215" t="s">
        <v>29</v>
      </c>
      <c r="AB7" s="215" t="s">
        <v>368</v>
      </c>
      <c r="AC7" s="215" t="s">
        <v>32</v>
      </c>
      <c r="AD7" s="212"/>
      <c r="AE7" s="213"/>
    </row>
    <row r="8" spans="1:33" x14ac:dyDescent="0.25">
      <c r="A8" s="216" t="s">
        <v>34</v>
      </c>
      <c r="B8" s="217" t="s">
        <v>35</v>
      </c>
      <c r="C8" s="217" t="s">
        <v>36</v>
      </c>
      <c r="D8" s="217" t="s">
        <v>37</v>
      </c>
      <c r="E8" s="217" t="s">
        <v>38</v>
      </c>
      <c r="F8" s="217" t="s">
        <v>39</v>
      </c>
      <c r="G8" s="217" t="s">
        <v>40</v>
      </c>
      <c r="H8" s="217" t="s">
        <v>41</v>
      </c>
      <c r="I8" s="217" t="s">
        <v>42</v>
      </c>
      <c r="J8" s="217" t="s">
        <v>43</v>
      </c>
      <c r="K8" s="217" t="s">
        <v>44</v>
      </c>
      <c r="L8" s="217" t="s">
        <v>45</v>
      </c>
      <c r="M8" s="217" t="s">
        <v>46</v>
      </c>
      <c r="N8" s="217" t="s">
        <v>47</v>
      </c>
      <c r="O8" s="217" t="s">
        <v>48</v>
      </c>
      <c r="P8" s="217" t="s">
        <v>49</v>
      </c>
      <c r="Q8" s="217" t="s">
        <v>50</v>
      </c>
      <c r="R8" s="217" t="s">
        <v>51</v>
      </c>
      <c r="S8" s="217" t="s">
        <v>52</v>
      </c>
      <c r="T8" s="217" t="s">
        <v>53</v>
      </c>
      <c r="U8" s="217" t="s">
        <v>54</v>
      </c>
      <c r="V8" s="217" t="s">
        <v>55</v>
      </c>
      <c r="W8" s="217" t="s">
        <v>56</v>
      </c>
      <c r="X8" s="217" t="s">
        <v>57</v>
      </c>
      <c r="Y8" s="217" t="s">
        <v>369</v>
      </c>
      <c r="Z8" s="217" t="s">
        <v>370</v>
      </c>
      <c r="AA8" s="217" t="s">
        <v>371</v>
      </c>
      <c r="AB8" s="217" t="s">
        <v>372</v>
      </c>
      <c r="AC8" s="217" t="s">
        <v>373</v>
      </c>
      <c r="AD8" s="217" t="s">
        <v>374</v>
      </c>
    </row>
    <row r="9" spans="1:33" x14ac:dyDescent="0.25">
      <c r="A9" s="215">
        <v>1</v>
      </c>
      <c r="B9" s="215">
        <v>201</v>
      </c>
      <c r="C9" s="215" t="s">
        <v>60</v>
      </c>
      <c r="D9" s="215" t="s">
        <v>441</v>
      </c>
      <c r="E9" s="215" t="s">
        <v>420</v>
      </c>
      <c r="F9" s="215">
        <v>297</v>
      </c>
      <c r="G9" s="215">
        <v>0.4</v>
      </c>
      <c r="H9" s="218" t="s">
        <v>445</v>
      </c>
      <c r="I9" s="215">
        <v>1.9</v>
      </c>
      <c r="J9" s="215">
        <v>0.5</v>
      </c>
      <c r="K9" s="219">
        <f>F9*J9</f>
        <v>148.5</v>
      </c>
      <c r="L9" s="219"/>
      <c r="M9" s="219">
        <f>K9+L9</f>
        <v>148.5</v>
      </c>
      <c r="N9" s="215"/>
      <c r="O9" s="215"/>
      <c r="P9" s="219">
        <f>M9*0.6</f>
        <v>89.1</v>
      </c>
      <c r="Q9" s="215"/>
      <c r="R9" s="215"/>
      <c r="S9" s="220">
        <f>F9*2/10000</f>
        <v>5.9400000000000001E-2</v>
      </c>
      <c r="T9" s="220">
        <f>F9*2/10000</f>
        <v>5.9400000000000001E-2</v>
      </c>
      <c r="U9" s="220">
        <f>F9*2/10000</f>
        <v>5.9400000000000001E-2</v>
      </c>
      <c r="V9" s="220"/>
      <c r="W9" s="215"/>
      <c r="X9" s="220">
        <f>SUM(S9:V9)</f>
        <v>0.1782</v>
      </c>
      <c r="Y9" s="220">
        <f>X9</f>
        <v>0.1782</v>
      </c>
      <c r="Z9" s="215"/>
      <c r="AA9" s="215"/>
      <c r="AB9" s="215"/>
      <c r="AC9" s="215"/>
      <c r="AD9" s="215"/>
    </row>
    <row r="10" spans="1:33" x14ac:dyDescent="0.25">
      <c r="A10" s="215">
        <f>+A9+1</f>
        <v>2</v>
      </c>
      <c r="B10" s="215">
        <v>202</v>
      </c>
      <c r="C10" s="215" t="s">
        <v>60</v>
      </c>
      <c r="D10" s="215" t="s">
        <v>442</v>
      </c>
      <c r="E10" s="215" t="s">
        <v>420</v>
      </c>
      <c r="F10" s="215">
        <v>266</v>
      </c>
      <c r="G10" s="215">
        <v>0.4</v>
      </c>
      <c r="H10" s="218" t="s">
        <v>445</v>
      </c>
      <c r="I10" s="215">
        <v>1.2</v>
      </c>
      <c r="J10" s="215">
        <v>0.5</v>
      </c>
      <c r="K10" s="219">
        <f t="shared" ref="K10:K36" si="0">F10*J10</f>
        <v>133</v>
      </c>
      <c r="L10" s="219"/>
      <c r="M10" s="219">
        <f t="shared" ref="M10:M36" si="1">K10+L10</f>
        <v>133</v>
      </c>
      <c r="N10" s="215"/>
      <c r="O10" s="215"/>
      <c r="P10" s="219">
        <f t="shared" ref="P10:P41" si="2">M10*0.6</f>
        <v>79.8</v>
      </c>
      <c r="Q10" s="215"/>
      <c r="R10" s="215"/>
      <c r="S10" s="220">
        <f t="shared" ref="S10:S17" si="3">F10*2/10000</f>
        <v>5.3199999999999997E-2</v>
      </c>
      <c r="T10" s="220">
        <f t="shared" ref="T10:T13" si="4">F10*2/10000</f>
        <v>5.3199999999999997E-2</v>
      </c>
      <c r="U10" s="220">
        <f t="shared" ref="U10:U17" si="5">F10*2/10000</f>
        <v>5.3199999999999997E-2</v>
      </c>
      <c r="V10" s="220"/>
      <c r="W10" s="215"/>
      <c r="X10" s="220">
        <f t="shared" ref="X10:X19" si="6">SUM(S10:V10)</f>
        <v>0.15959999999999999</v>
      </c>
      <c r="Y10" s="220">
        <f t="shared" ref="Y10:Y18" si="7">X10</f>
        <v>0.15959999999999999</v>
      </c>
      <c r="Z10" s="215"/>
      <c r="AA10" s="215"/>
      <c r="AB10" s="215"/>
      <c r="AC10" s="215"/>
      <c r="AD10" s="215"/>
    </row>
    <row r="11" spans="1:33" ht="25.5" x14ac:dyDescent="0.25">
      <c r="A11" s="215">
        <f t="shared" ref="A11:A38" si="8">+A10+1</f>
        <v>3</v>
      </c>
      <c r="B11" s="215">
        <v>203</v>
      </c>
      <c r="C11" s="215" t="s">
        <v>60</v>
      </c>
      <c r="D11" s="214" t="s">
        <v>444</v>
      </c>
      <c r="E11" s="215" t="s">
        <v>420</v>
      </c>
      <c r="F11" s="215">
        <v>356</v>
      </c>
      <c r="G11" s="215">
        <v>0.4</v>
      </c>
      <c r="H11" s="218" t="s">
        <v>445</v>
      </c>
      <c r="I11" s="215">
        <v>1.5</v>
      </c>
      <c r="J11" s="215">
        <v>0.5</v>
      </c>
      <c r="K11" s="219">
        <f t="shared" si="0"/>
        <v>178</v>
      </c>
      <c r="L11" s="219"/>
      <c r="M11" s="219">
        <f t="shared" si="1"/>
        <v>178</v>
      </c>
      <c r="N11" s="215"/>
      <c r="O11" s="215"/>
      <c r="P11" s="219">
        <f t="shared" si="2"/>
        <v>106.8</v>
      </c>
      <c r="Q11" s="215"/>
      <c r="R11" s="215"/>
      <c r="S11" s="220">
        <f>F11*2/10000</f>
        <v>7.1199999999999999E-2</v>
      </c>
      <c r="T11" s="220">
        <f t="shared" si="4"/>
        <v>7.1199999999999999E-2</v>
      </c>
      <c r="U11" s="220">
        <f t="shared" si="5"/>
        <v>7.1199999999999999E-2</v>
      </c>
      <c r="V11" s="220"/>
      <c r="W11" s="215"/>
      <c r="X11" s="220">
        <f t="shared" si="6"/>
        <v>0.21360000000000001</v>
      </c>
      <c r="Y11" s="220">
        <f t="shared" si="7"/>
        <v>0.21360000000000001</v>
      </c>
      <c r="Z11" s="215"/>
      <c r="AA11" s="215"/>
      <c r="AB11" s="215"/>
      <c r="AC11" s="215"/>
      <c r="AD11" s="215"/>
    </row>
    <row r="12" spans="1:33" x14ac:dyDescent="0.25">
      <c r="A12" s="215">
        <f t="shared" si="8"/>
        <v>4</v>
      </c>
      <c r="B12" s="215">
        <v>204</v>
      </c>
      <c r="C12" s="215" t="s">
        <v>60</v>
      </c>
      <c r="D12" s="215" t="s">
        <v>443</v>
      </c>
      <c r="E12" s="215" t="s">
        <v>414</v>
      </c>
      <c r="F12" s="215">
        <v>144</v>
      </c>
      <c r="G12" s="215">
        <v>0.4</v>
      </c>
      <c r="H12" s="218" t="s">
        <v>446</v>
      </c>
      <c r="I12" s="215">
        <v>1.9</v>
      </c>
      <c r="J12" s="215">
        <v>0.5</v>
      </c>
      <c r="K12" s="219">
        <f t="shared" si="0"/>
        <v>72</v>
      </c>
      <c r="L12" s="219"/>
      <c r="M12" s="219">
        <f t="shared" si="1"/>
        <v>72</v>
      </c>
      <c r="N12" s="215"/>
      <c r="O12" s="215"/>
      <c r="P12" s="219">
        <f t="shared" si="2"/>
        <v>43.199999999999996</v>
      </c>
      <c r="Q12" s="215"/>
      <c r="R12" s="215"/>
      <c r="S12" s="220">
        <f t="shared" si="3"/>
        <v>2.8799999999999999E-2</v>
      </c>
      <c r="T12" s="220">
        <f t="shared" si="4"/>
        <v>2.8799999999999999E-2</v>
      </c>
      <c r="U12" s="220">
        <f t="shared" si="5"/>
        <v>2.8799999999999999E-2</v>
      </c>
      <c r="V12" s="220"/>
      <c r="W12" s="215"/>
      <c r="X12" s="220">
        <f t="shared" si="6"/>
        <v>8.6400000000000005E-2</v>
      </c>
      <c r="Y12" s="220">
        <f t="shared" si="7"/>
        <v>8.6400000000000005E-2</v>
      </c>
      <c r="Z12" s="215"/>
      <c r="AA12" s="215"/>
      <c r="AB12" s="215"/>
      <c r="AC12" s="215"/>
      <c r="AD12" s="215"/>
    </row>
    <row r="13" spans="1:33" x14ac:dyDescent="0.25">
      <c r="A13" s="215">
        <f t="shared" si="8"/>
        <v>5</v>
      </c>
      <c r="B13" s="214">
        <v>205</v>
      </c>
      <c r="C13" s="215" t="s">
        <v>60</v>
      </c>
      <c r="D13" s="215" t="s">
        <v>443</v>
      </c>
      <c r="E13" s="214" t="s">
        <v>380</v>
      </c>
      <c r="F13" s="215">
        <v>366</v>
      </c>
      <c r="G13" s="215">
        <v>0.6</v>
      </c>
      <c r="H13" s="218" t="s">
        <v>446</v>
      </c>
      <c r="I13" s="215">
        <v>1.5</v>
      </c>
      <c r="J13" s="215">
        <v>1.2</v>
      </c>
      <c r="K13" s="219">
        <f>F13*J13</f>
        <v>439.2</v>
      </c>
      <c r="L13" s="219"/>
      <c r="M13" s="219">
        <f t="shared" si="1"/>
        <v>439.2</v>
      </c>
      <c r="N13" s="215"/>
      <c r="O13" s="215"/>
      <c r="P13" s="219">
        <f t="shared" si="2"/>
        <v>263.52</v>
      </c>
      <c r="Q13" s="215"/>
      <c r="R13" s="215"/>
      <c r="S13" s="220">
        <f t="shared" si="3"/>
        <v>7.3200000000000001E-2</v>
      </c>
      <c r="T13" s="220">
        <f t="shared" si="4"/>
        <v>7.3200000000000001E-2</v>
      </c>
      <c r="U13" s="220">
        <f t="shared" si="5"/>
        <v>7.3200000000000001E-2</v>
      </c>
      <c r="V13" s="220"/>
      <c r="W13" s="215"/>
      <c r="X13" s="220">
        <f t="shared" si="6"/>
        <v>0.21960000000000002</v>
      </c>
      <c r="Y13" s="220">
        <f t="shared" si="7"/>
        <v>0.21960000000000002</v>
      </c>
      <c r="Z13" s="215"/>
      <c r="AA13" s="215"/>
      <c r="AB13" s="215"/>
      <c r="AC13" s="215"/>
      <c r="AD13" s="221"/>
    </row>
    <row r="14" spans="1:33" x14ac:dyDescent="0.25">
      <c r="A14" s="215">
        <f t="shared" si="8"/>
        <v>6</v>
      </c>
      <c r="B14" s="214">
        <v>206</v>
      </c>
      <c r="C14" s="215" t="s">
        <v>60</v>
      </c>
      <c r="D14" s="215" t="s">
        <v>441</v>
      </c>
      <c r="E14" s="214" t="s">
        <v>377</v>
      </c>
      <c r="F14" s="215">
        <v>119</v>
      </c>
      <c r="G14" s="215">
        <v>0.4</v>
      </c>
      <c r="H14" s="218" t="s">
        <v>445</v>
      </c>
      <c r="I14" s="215">
        <v>0.9</v>
      </c>
      <c r="J14" s="215">
        <v>1.58</v>
      </c>
      <c r="K14" s="219">
        <f t="shared" ref="K14:K17" si="9">F14*J14</f>
        <v>188.02</v>
      </c>
      <c r="L14" s="219"/>
      <c r="M14" s="219">
        <f>K14+L14</f>
        <v>188.02</v>
      </c>
      <c r="N14" s="215"/>
      <c r="O14" s="215"/>
      <c r="P14" s="219">
        <f>M14*0.6*0.37</f>
        <v>41.74044</v>
      </c>
      <c r="Q14" s="215"/>
      <c r="R14" s="219">
        <f>M14*0.63</f>
        <v>118.4526</v>
      </c>
      <c r="S14" s="220">
        <f t="shared" si="3"/>
        <v>2.3800000000000002E-2</v>
      </c>
      <c r="T14" s="220">
        <f>F14*1/10000</f>
        <v>1.1900000000000001E-2</v>
      </c>
      <c r="U14" s="220">
        <f t="shared" si="5"/>
        <v>2.3800000000000002E-2</v>
      </c>
      <c r="V14" s="220"/>
      <c r="W14" s="215"/>
      <c r="X14" s="220">
        <f t="shared" si="6"/>
        <v>5.9500000000000004E-2</v>
      </c>
      <c r="Y14" s="220">
        <f t="shared" si="7"/>
        <v>5.9500000000000004E-2</v>
      </c>
      <c r="Z14" s="215"/>
      <c r="AA14" s="215"/>
      <c r="AB14" s="215"/>
      <c r="AC14" s="215"/>
      <c r="AD14" s="221"/>
    </row>
    <row r="15" spans="1:33" x14ac:dyDescent="0.25">
      <c r="A15" s="215">
        <f t="shared" si="8"/>
        <v>7</v>
      </c>
      <c r="B15" s="214">
        <v>207</v>
      </c>
      <c r="C15" s="215" t="s">
        <v>60</v>
      </c>
      <c r="D15" s="215" t="s">
        <v>442</v>
      </c>
      <c r="E15" s="214" t="s">
        <v>377</v>
      </c>
      <c r="F15" s="215">
        <v>159</v>
      </c>
      <c r="G15" s="215">
        <v>0.4</v>
      </c>
      <c r="H15" s="218" t="s">
        <v>445</v>
      </c>
      <c r="I15" s="215">
        <v>0.9</v>
      </c>
      <c r="J15" s="215">
        <v>1.58</v>
      </c>
      <c r="K15" s="219">
        <f t="shared" si="9"/>
        <v>251.22</v>
      </c>
      <c r="L15" s="219"/>
      <c r="M15" s="219">
        <f t="shared" ref="M15:M17" si="10">K15+L15</f>
        <v>251.22</v>
      </c>
      <c r="N15" s="215"/>
      <c r="O15" s="215"/>
      <c r="P15" s="219">
        <f t="shared" ref="P15:P16" si="11">M15*0.6*0.37</f>
        <v>55.77084</v>
      </c>
      <c r="Q15" s="215"/>
      <c r="R15" s="219">
        <f>M15*0.63</f>
        <v>158.26859999999999</v>
      </c>
      <c r="S15" s="220">
        <f>F15*2/10000</f>
        <v>3.1800000000000002E-2</v>
      </c>
      <c r="T15" s="220">
        <f>F15*1/10000</f>
        <v>1.5900000000000001E-2</v>
      </c>
      <c r="U15" s="220">
        <f>F15*2/10000</f>
        <v>3.1800000000000002E-2</v>
      </c>
      <c r="V15" s="220"/>
      <c r="W15" s="215"/>
      <c r="X15" s="220">
        <f t="shared" si="6"/>
        <v>7.9500000000000015E-2</v>
      </c>
      <c r="Y15" s="220">
        <f t="shared" si="7"/>
        <v>7.9500000000000015E-2</v>
      </c>
      <c r="Z15" s="215"/>
      <c r="AA15" s="215"/>
      <c r="AB15" s="215"/>
      <c r="AC15" s="215"/>
      <c r="AD15" s="221"/>
    </row>
    <row r="16" spans="1:33" ht="25.5" x14ac:dyDescent="0.25">
      <c r="A16" s="215">
        <f t="shared" si="8"/>
        <v>8</v>
      </c>
      <c r="B16" s="214">
        <v>208</v>
      </c>
      <c r="C16" s="215" t="s">
        <v>60</v>
      </c>
      <c r="D16" s="214" t="s">
        <v>556</v>
      </c>
      <c r="E16" s="214" t="s">
        <v>377</v>
      </c>
      <c r="F16" s="215">
        <v>300</v>
      </c>
      <c r="G16" s="215">
        <v>0.4</v>
      </c>
      <c r="H16" s="218" t="s">
        <v>445</v>
      </c>
      <c r="I16" s="215">
        <v>0.9</v>
      </c>
      <c r="J16" s="215">
        <v>1.58</v>
      </c>
      <c r="K16" s="219">
        <f t="shared" si="9"/>
        <v>474</v>
      </c>
      <c r="L16" s="219"/>
      <c r="M16" s="219">
        <f t="shared" si="10"/>
        <v>474</v>
      </c>
      <c r="N16" s="215"/>
      <c r="O16" s="215"/>
      <c r="P16" s="219">
        <f t="shared" si="11"/>
        <v>105.22799999999999</v>
      </c>
      <c r="Q16" s="215"/>
      <c r="R16" s="219">
        <f>M16*0.63</f>
        <v>298.62</v>
      </c>
      <c r="S16" s="220">
        <f t="shared" si="3"/>
        <v>0.06</v>
      </c>
      <c r="T16" s="220">
        <f>F16*1/10000</f>
        <v>0.03</v>
      </c>
      <c r="U16" s="220">
        <f t="shared" si="5"/>
        <v>0.06</v>
      </c>
      <c r="V16" s="220"/>
      <c r="W16" s="215"/>
      <c r="X16" s="220">
        <f t="shared" si="6"/>
        <v>0.15</v>
      </c>
      <c r="Y16" s="220">
        <f t="shared" si="7"/>
        <v>0.15</v>
      </c>
      <c r="Z16" s="215"/>
      <c r="AA16" s="215"/>
      <c r="AB16" s="215"/>
      <c r="AC16" s="215"/>
      <c r="AD16" s="221"/>
      <c r="AE16" s="222"/>
      <c r="AG16" s="222"/>
    </row>
    <row r="17" spans="1:32" x14ac:dyDescent="0.25">
      <c r="A17" s="215">
        <f t="shared" si="8"/>
        <v>9</v>
      </c>
      <c r="B17" s="214">
        <v>209</v>
      </c>
      <c r="C17" s="215" t="s">
        <v>60</v>
      </c>
      <c r="D17" s="215" t="s">
        <v>555</v>
      </c>
      <c r="E17" s="214" t="s">
        <v>377</v>
      </c>
      <c r="F17" s="215">
        <v>489</v>
      </c>
      <c r="G17" s="215">
        <v>0.4</v>
      </c>
      <c r="H17" s="218" t="s">
        <v>446</v>
      </c>
      <c r="I17" s="215">
        <v>0.9</v>
      </c>
      <c r="J17" s="215">
        <v>1.98</v>
      </c>
      <c r="K17" s="219">
        <f t="shared" si="9"/>
        <v>968.22</v>
      </c>
      <c r="L17" s="219"/>
      <c r="M17" s="219">
        <f t="shared" si="10"/>
        <v>968.22</v>
      </c>
      <c r="N17" s="215"/>
      <c r="O17" s="215"/>
      <c r="P17" s="219">
        <f>M17*0.6*0.386</f>
        <v>224.23975200000001</v>
      </c>
      <c r="Q17" s="215"/>
      <c r="R17" s="219">
        <f>M17*0.614</f>
        <v>594.48707999999999</v>
      </c>
      <c r="S17" s="220">
        <f t="shared" si="3"/>
        <v>9.7799999999999998E-2</v>
      </c>
      <c r="T17" s="220">
        <f>F17*1/10000</f>
        <v>4.8899999999999999E-2</v>
      </c>
      <c r="U17" s="220">
        <f t="shared" si="5"/>
        <v>9.7799999999999998E-2</v>
      </c>
      <c r="V17" s="220"/>
      <c r="W17" s="215"/>
      <c r="X17" s="220">
        <f t="shared" si="6"/>
        <v>0.2445</v>
      </c>
      <c r="Y17" s="220">
        <f t="shared" si="7"/>
        <v>0.2445</v>
      </c>
      <c r="Z17" s="215"/>
      <c r="AA17" s="215"/>
      <c r="AB17" s="215"/>
      <c r="AC17" s="215"/>
      <c r="AD17" s="221"/>
    </row>
    <row r="18" spans="1:32" ht="38.25" x14ac:dyDescent="0.25">
      <c r="A18" s="215">
        <f t="shared" si="8"/>
        <v>10</v>
      </c>
      <c r="B18" s="214"/>
      <c r="C18" s="215" t="s">
        <v>60</v>
      </c>
      <c r="D18" s="214" t="s">
        <v>450</v>
      </c>
      <c r="E18" s="214" t="s">
        <v>378</v>
      </c>
      <c r="F18" s="215"/>
      <c r="G18" s="215"/>
      <c r="H18" s="218"/>
      <c r="I18" s="215"/>
      <c r="J18" s="215"/>
      <c r="K18" s="219"/>
      <c r="L18" s="219"/>
      <c r="M18" s="219"/>
      <c r="N18" s="215"/>
      <c r="O18" s="215"/>
      <c r="P18" s="219"/>
      <c r="Q18" s="215"/>
      <c r="R18" s="215"/>
      <c r="S18" s="220"/>
      <c r="T18" s="220">
        <f>1135*2/10000</f>
        <v>0.22700000000000001</v>
      </c>
      <c r="U18" s="220">
        <f>1135*1/10000</f>
        <v>0.1135</v>
      </c>
      <c r="V18" s="220"/>
      <c r="W18" s="215"/>
      <c r="X18" s="220">
        <f t="shared" si="6"/>
        <v>0.34050000000000002</v>
      </c>
      <c r="Y18" s="220">
        <f t="shared" si="7"/>
        <v>0.34050000000000002</v>
      </c>
      <c r="Z18" s="215"/>
      <c r="AA18" s="215"/>
      <c r="AB18" s="215"/>
      <c r="AC18" s="215"/>
      <c r="AD18" s="221"/>
      <c r="AE18" s="222"/>
      <c r="AF18" s="222"/>
    </row>
    <row r="19" spans="1:32" x14ac:dyDescent="0.25">
      <c r="A19" s="215">
        <f t="shared" si="8"/>
        <v>11</v>
      </c>
      <c r="B19" s="214">
        <v>301</v>
      </c>
      <c r="C19" s="215" t="s">
        <v>61</v>
      </c>
      <c r="D19" s="215"/>
      <c r="E19" s="214" t="s">
        <v>376</v>
      </c>
      <c r="F19" s="215">
        <v>51</v>
      </c>
      <c r="G19" s="215">
        <v>0.4</v>
      </c>
      <c r="H19" s="218" t="s">
        <v>445</v>
      </c>
      <c r="I19" s="215">
        <v>1</v>
      </c>
      <c r="J19" s="215">
        <v>1.2</v>
      </c>
      <c r="K19" s="219">
        <f t="shared" si="0"/>
        <v>61.199999999999996</v>
      </c>
      <c r="L19" s="219"/>
      <c r="M19" s="219">
        <f t="shared" si="1"/>
        <v>61.199999999999996</v>
      </c>
      <c r="N19" s="215"/>
      <c r="O19" s="215"/>
      <c r="P19" s="219">
        <f>M19*0.6</f>
        <v>36.72</v>
      </c>
      <c r="Q19" s="215"/>
      <c r="R19" s="215"/>
      <c r="S19" s="220"/>
      <c r="T19" s="220">
        <f>F19*2/10000</f>
        <v>1.0200000000000001E-2</v>
      </c>
      <c r="U19" s="220">
        <f>F19*2/10000</f>
        <v>1.0200000000000001E-2</v>
      </c>
      <c r="V19" s="220"/>
      <c r="W19" s="215"/>
      <c r="X19" s="220">
        <f t="shared" si="6"/>
        <v>2.0400000000000001E-2</v>
      </c>
      <c r="Y19" s="220">
        <f t="shared" ref="Y19:Y44" si="12">X19</f>
        <v>2.0400000000000001E-2</v>
      </c>
      <c r="Z19" s="215"/>
      <c r="AA19" s="215"/>
      <c r="AB19" s="215"/>
      <c r="AC19" s="215"/>
      <c r="AD19" s="221"/>
      <c r="AF19" s="222"/>
    </row>
    <row r="20" spans="1:32" x14ac:dyDescent="0.25">
      <c r="A20" s="215">
        <f t="shared" si="8"/>
        <v>12</v>
      </c>
      <c r="B20" s="215" t="s">
        <v>447</v>
      </c>
      <c r="C20" s="215" t="s">
        <v>61</v>
      </c>
      <c r="D20" s="215"/>
      <c r="E20" s="215" t="s">
        <v>377</v>
      </c>
      <c r="F20" s="215">
        <v>37</v>
      </c>
      <c r="G20" s="215">
        <v>0.4</v>
      </c>
      <c r="H20" s="218" t="s">
        <v>445</v>
      </c>
      <c r="I20" s="215">
        <v>1</v>
      </c>
      <c r="J20" s="215">
        <v>1.8</v>
      </c>
      <c r="K20" s="219">
        <f t="shared" si="0"/>
        <v>66.600000000000009</v>
      </c>
      <c r="L20" s="219"/>
      <c r="M20" s="219">
        <f t="shared" si="1"/>
        <v>66.600000000000009</v>
      </c>
      <c r="N20" s="215"/>
      <c r="O20" s="215"/>
      <c r="P20" s="219">
        <f>M20*0.32*0.6</f>
        <v>12.787200000000002</v>
      </c>
      <c r="Q20" s="215"/>
      <c r="R20" s="219">
        <f>M20*0.68</f>
        <v>45.288000000000011</v>
      </c>
      <c r="S20" s="220"/>
      <c r="T20" s="220">
        <f>F20*2/10000</f>
        <v>7.4000000000000003E-3</v>
      </c>
      <c r="U20" s="220">
        <f>F20*2/10000</f>
        <v>7.4000000000000003E-3</v>
      </c>
      <c r="V20" s="220"/>
      <c r="W20" s="215"/>
      <c r="X20" s="220">
        <f t="shared" ref="X20" si="13">SUM(S20:V20)</f>
        <v>1.4800000000000001E-2</v>
      </c>
      <c r="Y20" s="220">
        <f t="shared" si="12"/>
        <v>1.4800000000000001E-2</v>
      </c>
      <c r="Z20" s="215"/>
      <c r="AA20" s="215"/>
      <c r="AB20" s="215"/>
      <c r="AC20" s="215"/>
      <c r="AD20" s="215"/>
    </row>
    <row r="21" spans="1:32" x14ac:dyDescent="0.25">
      <c r="A21" s="215">
        <f t="shared" si="8"/>
        <v>13</v>
      </c>
      <c r="B21" s="215" t="s">
        <v>557</v>
      </c>
      <c r="C21" s="215" t="s">
        <v>61</v>
      </c>
      <c r="D21" s="215" t="s">
        <v>559</v>
      </c>
      <c r="E21" s="215" t="s">
        <v>377</v>
      </c>
      <c r="F21" s="215">
        <v>254</v>
      </c>
      <c r="G21" s="215">
        <v>0.4</v>
      </c>
      <c r="H21" s="218" t="s">
        <v>445</v>
      </c>
      <c r="I21" s="215">
        <v>0.9</v>
      </c>
      <c r="J21" s="215">
        <v>1.58</v>
      </c>
      <c r="K21" s="219">
        <f t="shared" si="0"/>
        <v>401.32</v>
      </c>
      <c r="L21" s="219"/>
      <c r="M21" s="219">
        <f t="shared" si="1"/>
        <v>401.32</v>
      </c>
      <c r="N21" s="215"/>
      <c r="O21" s="215"/>
      <c r="P21" s="219">
        <f t="shared" ref="P21:P30" si="14">M21*0.32*0.6</f>
        <v>77.053440000000009</v>
      </c>
      <c r="Q21" s="215"/>
      <c r="R21" s="219">
        <f t="shared" ref="R21:R30" si="15">M21*0.68</f>
        <v>272.89760000000001</v>
      </c>
      <c r="S21" s="220">
        <f>F21*2/10000</f>
        <v>5.0799999999999998E-2</v>
      </c>
      <c r="T21" s="220">
        <f>F21*2/10000</f>
        <v>5.0799999999999998E-2</v>
      </c>
      <c r="U21" s="220">
        <f>F21*1/10000</f>
        <v>2.5399999999999999E-2</v>
      </c>
      <c r="V21" s="220"/>
      <c r="W21" s="215"/>
      <c r="X21" s="220">
        <f t="shared" ref="X21:X32" si="16">SUM(S21:V21)</f>
        <v>0.127</v>
      </c>
      <c r="Y21" s="220">
        <f t="shared" ref="Y21:Y32" si="17">X21</f>
        <v>0.127</v>
      </c>
      <c r="Z21" s="215"/>
      <c r="AA21" s="215"/>
      <c r="AB21" s="215"/>
      <c r="AC21" s="215"/>
      <c r="AD21" s="215"/>
    </row>
    <row r="22" spans="1:32" x14ac:dyDescent="0.25">
      <c r="A22" s="215">
        <f t="shared" si="8"/>
        <v>14</v>
      </c>
      <c r="B22" s="215" t="s">
        <v>558</v>
      </c>
      <c r="C22" s="215" t="s">
        <v>61</v>
      </c>
      <c r="D22" s="215" t="s">
        <v>559</v>
      </c>
      <c r="E22" s="215" t="s">
        <v>377</v>
      </c>
      <c r="F22" s="215">
        <v>265</v>
      </c>
      <c r="G22" s="215">
        <v>0.4</v>
      </c>
      <c r="H22" s="218" t="s">
        <v>445</v>
      </c>
      <c r="I22" s="215">
        <v>0.9</v>
      </c>
      <c r="J22" s="215">
        <v>1.58</v>
      </c>
      <c r="K22" s="219">
        <f t="shared" ref="K22" si="18">F22*J22</f>
        <v>418.70000000000005</v>
      </c>
      <c r="L22" s="219"/>
      <c r="M22" s="219">
        <f t="shared" ref="M22" si="19">K22+L22</f>
        <v>418.70000000000005</v>
      </c>
      <c r="N22" s="215"/>
      <c r="O22" s="215"/>
      <c r="P22" s="219">
        <f t="shared" si="14"/>
        <v>80.3904</v>
      </c>
      <c r="Q22" s="215"/>
      <c r="R22" s="219">
        <f t="shared" si="15"/>
        <v>284.71600000000007</v>
      </c>
      <c r="S22" s="220">
        <f>F22*2/10000</f>
        <v>5.2999999999999999E-2</v>
      </c>
      <c r="T22" s="220">
        <f>F22*2/10000</f>
        <v>5.2999999999999999E-2</v>
      </c>
      <c r="U22" s="220">
        <f>F22*1/10000</f>
        <v>2.6499999999999999E-2</v>
      </c>
      <c r="V22" s="220"/>
      <c r="W22" s="215"/>
      <c r="X22" s="220">
        <f t="shared" si="16"/>
        <v>0.13250000000000001</v>
      </c>
      <c r="Y22" s="220">
        <f t="shared" si="17"/>
        <v>0.13250000000000001</v>
      </c>
      <c r="Z22" s="215"/>
      <c r="AA22" s="215"/>
      <c r="AB22" s="215"/>
      <c r="AC22" s="215"/>
      <c r="AD22" s="215"/>
    </row>
    <row r="23" spans="1:32" ht="25.5" x14ac:dyDescent="0.25">
      <c r="A23" s="215">
        <f t="shared" si="8"/>
        <v>15</v>
      </c>
      <c r="B23" s="215" t="s">
        <v>560</v>
      </c>
      <c r="C23" s="215" t="s">
        <v>61</v>
      </c>
      <c r="D23" s="214" t="s">
        <v>451</v>
      </c>
      <c r="E23" s="215" t="s">
        <v>377</v>
      </c>
      <c r="F23" s="215">
        <v>117</v>
      </c>
      <c r="G23" s="215">
        <v>0.4</v>
      </c>
      <c r="H23" s="218" t="s">
        <v>445</v>
      </c>
      <c r="I23" s="215">
        <v>0.9</v>
      </c>
      <c r="J23" s="215">
        <v>1.58</v>
      </c>
      <c r="K23" s="219">
        <f t="shared" ref="K23" si="20">F23*J23</f>
        <v>184.86</v>
      </c>
      <c r="L23" s="219"/>
      <c r="M23" s="219">
        <f t="shared" ref="M23" si="21">K23+L23</f>
        <v>184.86</v>
      </c>
      <c r="N23" s="215"/>
      <c r="O23" s="215"/>
      <c r="P23" s="219">
        <f t="shared" si="14"/>
        <v>35.493120000000005</v>
      </c>
      <c r="Q23" s="215"/>
      <c r="R23" s="219">
        <f t="shared" si="15"/>
        <v>125.70480000000002</v>
      </c>
      <c r="S23" s="220">
        <f>F23*2/10000</f>
        <v>2.3400000000000001E-2</v>
      </c>
      <c r="T23" s="220">
        <f>F23*2/10000</f>
        <v>2.3400000000000001E-2</v>
      </c>
      <c r="U23" s="220">
        <f>F23*1/10000</f>
        <v>1.17E-2</v>
      </c>
      <c r="V23" s="220"/>
      <c r="W23" s="215"/>
      <c r="X23" s="220">
        <f t="shared" si="16"/>
        <v>5.8500000000000003E-2</v>
      </c>
      <c r="Y23" s="220">
        <f t="shared" si="17"/>
        <v>5.8500000000000003E-2</v>
      </c>
      <c r="Z23" s="215"/>
      <c r="AA23" s="215"/>
      <c r="AB23" s="215"/>
      <c r="AC23" s="215"/>
      <c r="AD23" s="215"/>
    </row>
    <row r="24" spans="1:32" x14ac:dyDescent="0.25">
      <c r="A24" s="215">
        <f t="shared" si="8"/>
        <v>16</v>
      </c>
      <c r="B24" s="215" t="s">
        <v>562</v>
      </c>
      <c r="C24" s="215" t="s">
        <v>61</v>
      </c>
      <c r="D24" s="214" t="s">
        <v>561</v>
      </c>
      <c r="E24" s="215" t="s">
        <v>377</v>
      </c>
      <c r="F24" s="215">
        <v>151</v>
      </c>
      <c r="G24" s="215">
        <v>0.4</v>
      </c>
      <c r="H24" s="218" t="s">
        <v>445</v>
      </c>
      <c r="I24" s="215">
        <v>0.9</v>
      </c>
      <c r="J24" s="215">
        <v>1.58</v>
      </c>
      <c r="K24" s="219">
        <f t="shared" ref="K24:K25" si="22">F24*J24</f>
        <v>238.58</v>
      </c>
      <c r="L24" s="219"/>
      <c r="M24" s="219">
        <f t="shared" ref="M24:M26" si="23">K24+L24</f>
        <v>238.58</v>
      </c>
      <c r="N24" s="215"/>
      <c r="O24" s="215"/>
      <c r="P24" s="219">
        <f t="shared" si="14"/>
        <v>45.807360000000003</v>
      </c>
      <c r="Q24" s="215"/>
      <c r="R24" s="219">
        <f t="shared" si="15"/>
        <v>162.23440000000002</v>
      </c>
      <c r="S24" s="220"/>
      <c r="T24" s="220"/>
      <c r="U24" s="220">
        <f>F24*3/10000</f>
        <v>4.53E-2</v>
      </c>
      <c r="V24" s="220">
        <f>F24*2/10000</f>
        <v>3.0200000000000001E-2</v>
      </c>
      <c r="W24" s="215"/>
      <c r="X24" s="220">
        <f t="shared" si="16"/>
        <v>7.5499999999999998E-2</v>
      </c>
      <c r="Y24" s="220">
        <f t="shared" si="17"/>
        <v>7.5499999999999998E-2</v>
      </c>
      <c r="Z24" s="215"/>
      <c r="AA24" s="215"/>
      <c r="AB24" s="215"/>
      <c r="AC24" s="215"/>
      <c r="AD24" s="215"/>
    </row>
    <row r="25" spans="1:32" x14ac:dyDescent="0.25">
      <c r="A25" s="215">
        <f t="shared" si="8"/>
        <v>17</v>
      </c>
      <c r="B25" s="215" t="s">
        <v>563</v>
      </c>
      <c r="C25" s="215" t="s">
        <v>61</v>
      </c>
      <c r="D25" s="214" t="s">
        <v>452</v>
      </c>
      <c r="E25" s="215" t="s">
        <v>377</v>
      </c>
      <c r="F25" s="215">
        <v>56</v>
      </c>
      <c r="G25" s="215">
        <v>0.4</v>
      </c>
      <c r="H25" s="218" t="s">
        <v>445</v>
      </c>
      <c r="I25" s="215">
        <v>0.9</v>
      </c>
      <c r="J25" s="215">
        <v>1.58</v>
      </c>
      <c r="K25" s="219">
        <f t="shared" si="22"/>
        <v>88.48</v>
      </c>
      <c r="L25" s="219"/>
      <c r="M25" s="219">
        <f t="shared" si="23"/>
        <v>88.48</v>
      </c>
      <c r="N25" s="215"/>
      <c r="O25" s="215"/>
      <c r="P25" s="219">
        <f t="shared" si="14"/>
        <v>16.988160000000001</v>
      </c>
      <c r="Q25" s="215"/>
      <c r="R25" s="219">
        <f t="shared" si="15"/>
        <v>60.16640000000001</v>
      </c>
      <c r="S25" s="220">
        <f>F25*5/10000</f>
        <v>2.8000000000000001E-2</v>
      </c>
      <c r="T25" s="220"/>
      <c r="U25" s="220"/>
      <c r="V25" s="220"/>
      <c r="W25" s="215"/>
      <c r="X25" s="220">
        <f t="shared" si="16"/>
        <v>2.8000000000000001E-2</v>
      </c>
      <c r="Y25" s="220">
        <f t="shared" si="17"/>
        <v>2.8000000000000001E-2</v>
      </c>
      <c r="Z25" s="215"/>
      <c r="AA25" s="215"/>
      <c r="AB25" s="215"/>
      <c r="AC25" s="215"/>
      <c r="AD25" s="215"/>
    </row>
    <row r="26" spans="1:32" x14ac:dyDescent="0.25">
      <c r="A26" s="215">
        <f t="shared" si="8"/>
        <v>18</v>
      </c>
      <c r="B26" s="215" t="s">
        <v>564</v>
      </c>
      <c r="C26" s="215" t="s">
        <v>61</v>
      </c>
      <c r="D26" s="214" t="s">
        <v>561</v>
      </c>
      <c r="E26" s="215" t="s">
        <v>377</v>
      </c>
      <c r="F26" s="215">
        <v>46</v>
      </c>
      <c r="G26" s="215">
        <v>0.4</v>
      </c>
      <c r="H26" s="218" t="s">
        <v>445</v>
      </c>
      <c r="I26" s="215">
        <v>0.9</v>
      </c>
      <c r="J26" s="215">
        <v>1.58</v>
      </c>
      <c r="K26" s="219">
        <f t="shared" ref="K26:K27" si="24">F26*J26</f>
        <v>72.680000000000007</v>
      </c>
      <c r="L26" s="219"/>
      <c r="M26" s="219">
        <f t="shared" si="23"/>
        <v>72.680000000000007</v>
      </c>
      <c r="N26" s="215"/>
      <c r="O26" s="215"/>
      <c r="P26" s="219">
        <f t="shared" si="14"/>
        <v>13.954560000000003</v>
      </c>
      <c r="Q26" s="215"/>
      <c r="R26" s="219">
        <f t="shared" si="15"/>
        <v>49.42240000000001</v>
      </c>
      <c r="S26" s="220"/>
      <c r="T26" s="220">
        <f>F26*3/10000</f>
        <v>1.38E-2</v>
      </c>
      <c r="U26" s="220">
        <f>F26*2/10000</f>
        <v>9.1999999999999998E-3</v>
      </c>
      <c r="V26" s="220"/>
      <c r="W26" s="215"/>
      <c r="X26" s="220">
        <f t="shared" si="16"/>
        <v>2.3E-2</v>
      </c>
      <c r="Y26" s="220">
        <f t="shared" si="17"/>
        <v>2.3E-2</v>
      </c>
      <c r="Z26" s="215"/>
      <c r="AA26" s="215"/>
      <c r="AB26" s="215"/>
      <c r="AC26" s="215"/>
      <c r="AD26" s="215"/>
    </row>
    <row r="27" spans="1:32" x14ac:dyDescent="0.25">
      <c r="A27" s="215">
        <f t="shared" si="8"/>
        <v>19</v>
      </c>
      <c r="B27" s="215" t="s">
        <v>565</v>
      </c>
      <c r="C27" s="215" t="s">
        <v>61</v>
      </c>
      <c r="D27" s="214" t="s">
        <v>561</v>
      </c>
      <c r="E27" s="215" t="s">
        <v>377</v>
      </c>
      <c r="F27" s="215">
        <v>539</v>
      </c>
      <c r="G27" s="215">
        <v>0.4</v>
      </c>
      <c r="H27" s="218" t="s">
        <v>445</v>
      </c>
      <c r="I27" s="215">
        <v>0.9</v>
      </c>
      <c r="J27" s="215">
        <v>1.58</v>
      </c>
      <c r="K27" s="219">
        <f t="shared" si="24"/>
        <v>851.62</v>
      </c>
      <c r="L27" s="219"/>
      <c r="M27" s="219">
        <f t="shared" ref="M27" si="25">K27+L27</f>
        <v>851.62</v>
      </c>
      <c r="N27" s="215"/>
      <c r="O27" s="215"/>
      <c r="P27" s="219">
        <f t="shared" si="14"/>
        <v>163.51103999999998</v>
      </c>
      <c r="Q27" s="215"/>
      <c r="R27" s="219">
        <f t="shared" si="15"/>
        <v>579.10160000000008</v>
      </c>
      <c r="S27" s="220"/>
      <c r="T27" s="220">
        <f>F27*2/10000</f>
        <v>0.10780000000000001</v>
      </c>
      <c r="U27" s="220">
        <f>F27*3/10000</f>
        <v>0.16170000000000001</v>
      </c>
      <c r="V27" s="220"/>
      <c r="W27" s="215"/>
      <c r="X27" s="220">
        <f t="shared" si="16"/>
        <v>0.26950000000000002</v>
      </c>
      <c r="Y27" s="220">
        <f t="shared" si="17"/>
        <v>0.26950000000000002</v>
      </c>
      <c r="Z27" s="215"/>
      <c r="AA27" s="215"/>
      <c r="AB27" s="215"/>
      <c r="AC27" s="215"/>
      <c r="AD27" s="215"/>
    </row>
    <row r="28" spans="1:32" ht="25.5" x14ac:dyDescent="0.25">
      <c r="A28" s="215">
        <f t="shared" si="8"/>
        <v>20</v>
      </c>
      <c r="B28" s="215" t="s">
        <v>566</v>
      </c>
      <c r="C28" s="215" t="s">
        <v>61</v>
      </c>
      <c r="D28" s="214" t="s">
        <v>453</v>
      </c>
      <c r="E28" s="215" t="s">
        <v>377</v>
      </c>
      <c r="F28" s="215">
        <v>159</v>
      </c>
      <c r="G28" s="215">
        <v>0.4</v>
      </c>
      <c r="H28" s="218" t="s">
        <v>445</v>
      </c>
      <c r="I28" s="215">
        <v>0.9</v>
      </c>
      <c r="J28" s="215">
        <v>1.58</v>
      </c>
      <c r="K28" s="219">
        <f t="shared" ref="K28" si="26">F28*J28</f>
        <v>251.22</v>
      </c>
      <c r="L28" s="219"/>
      <c r="M28" s="219">
        <f t="shared" ref="M28" si="27">K28+L28</f>
        <v>251.22</v>
      </c>
      <c r="N28" s="215"/>
      <c r="O28" s="215"/>
      <c r="P28" s="219">
        <f t="shared" si="14"/>
        <v>48.23424</v>
      </c>
      <c r="Q28" s="215"/>
      <c r="R28" s="219">
        <f t="shared" si="15"/>
        <v>170.8296</v>
      </c>
      <c r="S28" s="220"/>
      <c r="T28" s="220">
        <f>F28*2/10000</f>
        <v>3.1800000000000002E-2</v>
      </c>
      <c r="U28" s="220">
        <f>F28*3/10000</f>
        <v>4.7699999999999999E-2</v>
      </c>
      <c r="V28" s="220"/>
      <c r="W28" s="215"/>
      <c r="X28" s="220">
        <f t="shared" si="16"/>
        <v>7.9500000000000001E-2</v>
      </c>
      <c r="Y28" s="220">
        <f t="shared" si="17"/>
        <v>7.9500000000000001E-2</v>
      </c>
      <c r="Z28" s="215"/>
      <c r="AA28" s="215"/>
      <c r="AB28" s="215"/>
      <c r="AC28" s="215"/>
      <c r="AD28" s="215"/>
    </row>
    <row r="29" spans="1:32" x14ac:dyDescent="0.25">
      <c r="A29" s="215">
        <f t="shared" si="8"/>
        <v>21</v>
      </c>
      <c r="B29" s="215" t="s">
        <v>567</v>
      </c>
      <c r="C29" s="215" t="s">
        <v>61</v>
      </c>
      <c r="D29" s="214" t="s">
        <v>568</v>
      </c>
      <c r="E29" s="215" t="s">
        <v>377</v>
      </c>
      <c r="F29" s="215">
        <v>56</v>
      </c>
      <c r="G29" s="215">
        <v>0.4</v>
      </c>
      <c r="H29" s="218" t="s">
        <v>445</v>
      </c>
      <c r="I29" s="215">
        <v>1.2</v>
      </c>
      <c r="J29" s="215">
        <v>2.64</v>
      </c>
      <c r="K29" s="219">
        <f t="shared" ref="K29" si="28">F29*J29</f>
        <v>147.84</v>
      </c>
      <c r="L29" s="219"/>
      <c r="M29" s="219">
        <f t="shared" ref="M29" si="29">K29+L29</f>
        <v>147.84</v>
      </c>
      <c r="N29" s="215"/>
      <c r="O29" s="215"/>
      <c r="P29" s="219">
        <f t="shared" si="14"/>
        <v>28.385280000000002</v>
      </c>
      <c r="Q29" s="215"/>
      <c r="R29" s="219">
        <f t="shared" si="15"/>
        <v>100.53120000000001</v>
      </c>
      <c r="S29" s="220"/>
      <c r="T29" s="220">
        <f>F29*6/10000</f>
        <v>3.3599999999999998E-2</v>
      </c>
      <c r="U29" s="220"/>
      <c r="V29" s="220"/>
      <c r="W29" s="215"/>
      <c r="X29" s="220">
        <f t="shared" si="16"/>
        <v>3.3599999999999998E-2</v>
      </c>
      <c r="Y29" s="220">
        <f t="shared" si="17"/>
        <v>3.3599999999999998E-2</v>
      </c>
      <c r="Z29" s="215"/>
      <c r="AA29" s="215"/>
      <c r="AB29" s="215"/>
      <c r="AC29" s="215"/>
      <c r="AD29" s="215"/>
    </row>
    <row r="30" spans="1:32" x14ac:dyDescent="0.25">
      <c r="A30" s="215">
        <f t="shared" si="8"/>
        <v>22</v>
      </c>
      <c r="B30" s="215" t="s">
        <v>569</v>
      </c>
      <c r="C30" s="215" t="s">
        <v>61</v>
      </c>
      <c r="D30" s="214" t="s">
        <v>570</v>
      </c>
      <c r="E30" s="215" t="s">
        <v>377</v>
      </c>
      <c r="F30" s="215">
        <v>274</v>
      </c>
      <c r="G30" s="215">
        <v>0.4</v>
      </c>
      <c r="H30" s="218" t="s">
        <v>445</v>
      </c>
      <c r="I30" s="215">
        <v>0.9</v>
      </c>
      <c r="J30" s="215">
        <v>1.58</v>
      </c>
      <c r="K30" s="219">
        <f t="shared" ref="K30" si="30">F30*J30</f>
        <v>432.92</v>
      </c>
      <c r="L30" s="219"/>
      <c r="M30" s="219">
        <f t="shared" ref="M30" si="31">K30+L30</f>
        <v>432.92</v>
      </c>
      <c r="N30" s="215"/>
      <c r="O30" s="215"/>
      <c r="P30" s="219">
        <f t="shared" si="14"/>
        <v>83.120639999999995</v>
      </c>
      <c r="Q30" s="215"/>
      <c r="R30" s="219">
        <f t="shared" si="15"/>
        <v>294.38560000000001</v>
      </c>
      <c r="S30" s="220">
        <f>F30*5/10000</f>
        <v>0.13700000000000001</v>
      </c>
      <c r="T30" s="220"/>
      <c r="U30" s="220"/>
      <c r="V30" s="220"/>
      <c r="W30" s="215"/>
      <c r="X30" s="220">
        <f t="shared" si="16"/>
        <v>0.13700000000000001</v>
      </c>
      <c r="Y30" s="220">
        <f t="shared" si="17"/>
        <v>0.13700000000000001</v>
      </c>
      <c r="Z30" s="215"/>
      <c r="AA30" s="215"/>
      <c r="AB30" s="215"/>
      <c r="AC30" s="215"/>
      <c r="AD30" s="215"/>
      <c r="AE30" s="222"/>
    </row>
    <row r="31" spans="1:32" x14ac:dyDescent="0.25">
      <c r="A31" s="215">
        <f t="shared" si="8"/>
        <v>23</v>
      </c>
      <c r="B31" s="215" t="s">
        <v>571</v>
      </c>
      <c r="C31" s="215" t="s">
        <v>61</v>
      </c>
      <c r="D31" s="214" t="s">
        <v>456</v>
      </c>
      <c r="E31" s="215" t="s">
        <v>377</v>
      </c>
      <c r="F31" s="215">
        <v>254</v>
      </c>
      <c r="G31" s="215">
        <v>0.4</v>
      </c>
      <c r="H31" s="218" t="s">
        <v>445</v>
      </c>
      <c r="I31" s="215">
        <v>0.9</v>
      </c>
      <c r="J31" s="215">
        <v>1.58</v>
      </c>
      <c r="K31" s="219">
        <f t="shared" ref="K31" si="32">F31*J31</f>
        <v>401.32</v>
      </c>
      <c r="L31" s="219"/>
      <c r="M31" s="219">
        <f t="shared" ref="M31" si="33">K31+L31</f>
        <v>401.32</v>
      </c>
      <c r="N31" s="215"/>
      <c r="O31" s="215"/>
      <c r="P31" s="219">
        <f>M31*0.326*0.6</f>
        <v>78.498192000000003</v>
      </c>
      <c r="Q31" s="215"/>
      <c r="R31" s="219">
        <f>M31*0.684</f>
        <v>274.50288</v>
      </c>
      <c r="S31" s="220">
        <f>F31*2/10000</f>
        <v>5.0799999999999998E-2</v>
      </c>
      <c r="T31" s="220">
        <f>F31*2/10000</f>
        <v>5.0799999999999998E-2</v>
      </c>
      <c r="U31" s="220">
        <f>F31*1/10000</f>
        <v>2.5399999999999999E-2</v>
      </c>
      <c r="V31" s="220"/>
      <c r="W31" s="215"/>
      <c r="X31" s="220">
        <f t="shared" si="16"/>
        <v>0.127</v>
      </c>
      <c r="Y31" s="220">
        <f t="shared" si="17"/>
        <v>0.127</v>
      </c>
      <c r="Z31" s="215"/>
      <c r="AA31" s="215"/>
      <c r="AB31" s="215"/>
      <c r="AC31" s="215"/>
      <c r="AD31" s="215"/>
    </row>
    <row r="32" spans="1:32" x14ac:dyDescent="0.25">
      <c r="A32" s="215">
        <f t="shared" si="8"/>
        <v>24</v>
      </c>
      <c r="B32" s="215" t="s">
        <v>572</v>
      </c>
      <c r="C32" s="215" t="s">
        <v>61</v>
      </c>
      <c r="D32" s="214" t="s">
        <v>456</v>
      </c>
      <c r="E32" s="215" t="s">
        <v>377</v>
      </c>
      <c r="F32" s="215">
        <v>316</v>
      </c>
      <c r="G32" s="215">
        <v>0.4</v>
      </c>
      <c r="H32" s="218" t="s">
        <v>445</v>
      </c>
      <c r="I32" s="215">
        <v>0.9</v>
      </c>
      <c r="J32" s="215">
        <v>1.58</v>
      </c>
      <c r="K32" s="219">
        <f t="shared" ref="K32" si="34">F32*J32</f>
        <v>499.28000000000003</v>
      </c>
      <c r="L32" s="219"/>
      <c r="M32" s="219">
        <f t="shared" ref="M32" si="35">K32+L32</f>
        <v>499.28000000000003</v>
      </c>
      <c r="N32" s="215"/>
      <c r="O32" s="215"/>
      <c r="P32" s="219">
        <f>M32*0.3*0.6</f>
        <v>89.870399999999989</v>
      </c>
      <c r="Q32" s="215"/>
      <c r="R32" s="219">
        <f>M32*0.7</f>
        <v>349.49599999999998</v>
      </c>
      <c r="S32" s="220">
        <f>F32*2/10000</f>
        <v>6.3200000000000006E-2</v>
      </c>
      <c r="T32" s="220">
        <f>F32*2/10000</f>
        <v>6.3200000000000006E-2</v>
      </c>
      <c r="U32" s="220">
        <f>F32*1/10000</f>
        <v>3.1600000000000003E-2</v>
      </c>
      <c r="V32" s="220"/>
      <c r="W32" s="215"/>
      <c r="X32" s="220">
        <f t="shared" si="16"/>
        <v>0.15800000000000003</v>
      </c>
      <c r="Y32" s="220">
        <f t="shared" si="17"/>
        <v>0.15800000000000003</v>
      </c>
      <c r="Z32" s="215"/>
      <c r="AA32" s="215"/>
      <c r="AB32" s="215"/>
      <c r="AC32" s="215"/>
      <c r="AD32" s="215"/>
    </row>
    <row r="33" spans="1:32" x14ac:dyDescent="0.25">
      <c r="A33" s="215">
        <f t="shared" si="8"/>
        <v>25</v>
      </c>
      <c r="B33" s="215">
        <v>302</v>
      </c>
      <c r="C33" s="215" t="s">
        <v>61</v>
      </c>
      <c r="D33" s="215"/>
      <c r="E33" s="215" t="s">
        <v>414</v>
      </c>
      <c r="F33" s="215">
        <v>143</v>
      </c>
      <c r="G33" s="215">
        <v>0.4</v>
      </c>
      <c r="H33" s="218" t="s">
        <v>445</v>
      </c>
      <c r="I33" s="215">
        <v>0.9</v>
      </c>
      <c r="J33" s="215">
        <v>1.2</v>
      </c>
      <c r="K33" s="219">
        <f t="shared" si="0"/>
        <v>171.6</v>
      </c>
      <c r="L33" s="219"/>
      <c r="M33" s="219">
        <f t="shared" si="1"/>
        <v>171.6</v>
      </c>
      <c r="N33" s="215"/>
      <c r="O33" s="215"/>
      <c r="P33" s="219">
        <f>M33*0.6</f>
        <v>102.96</v>
      </c>
      <c r="Q33" s="215"/>
      <c r="R33" s="215"/>
      <c r="S33" s="220"/>
      <c r="T33" s="220">
        <f>F33*2/10000</f>
        <v>2.86E-2</v>
      </c>
      <c r="U33" s="220">
        <f>F33*3/10000</f>
        <v>4.2900000000000001E-2</v>
      </c>
      <c r="V33" s="220"/>
      <c r="W33" s="215"/>
      <c r="X33" s="220">
        <f t="shared" ref="X33" si="36">SUM(S33:V33)</f>
        <v>7.1500000000000008E-2</v>
      </c>
      <c r="Y33" s="220">
        <f t="shared" si="12"/>
        <v>7.1500000000000008E-2</v>
      </c>
      <c r="Z33" s="215"/>
      <c r="AA33" s="215"/>
      <c r="AB33" s="215"/>
      <c r="AC33" s="215"/>
      <c r="AD33" s="215"/>
      <c r="AF33" s="222"/>
    </row>
    <row r="34" spans="1:32" ht="25.5" x14ac:dyDescent="0.25">
      <c r="A34" s="215">
        <f t="shared" si="8"/>
        <v>26</v>
      </c>
      <c r="B34" s="215">
        <v>303</v>
      </c>
      <c r="C34" s="215" t="s">
        <v>61</v>
      </c>
      <c r="D34" s="214" t="s">
        <v>451</v>
      </c>
      <c r="E34" s="215" t="s">
        <v>414</v>
      </c>
      <c r="F34" s="215">
        <v>702</v>
      </c>
      <c r="G34" s="215">
        <v>0.4</v>
      </c>
      <c r="H34" s="218" t="s">
        <v>446</v>
      </c>
      <c r="I34" s="215">
        <v>0.9</v>
      </c>
      <c r="J34" s="215">
        <v>1.2</v>
      </c>
      <c r="K34" s="219">
        <f t="shared" si="0"/>
        <v>842.4</v>
      </c>
      <c r="L34" s="219"/>
      <c r="M34" s="219">
        <f t="shared" si="1"/>
        <v>842.4</v>
      </c>
      <c r="N34" s="215"/>
      <c r="O34" s="215"/>
      <c r="P34" s="219">
        <f t="shared" si="2"/>
        <v>505.43999999999994</v>
      </c>
      <c r="Q34" s="215"/>
      <c r="R34" s="215"/>
      <c r="S34" s="220"/>
      <c r="T34" s="220">
        <f>F34*2/10000</f>
        <v>0.1404</v>
      </c>
      <c r="U34" s="220">
        <f>F34*2/10000</f>
        <v>0.1404</v>
      </c>
      <c r="V34" s="220"/>
      <c r="W34" s="215"/>
      <c r="X34" s="220">
        <f t="shared" ref="X34:X44" si="37">SUM(S34:V34)</f>
        <v>0.28079999999999999</v>
      </c>
      <c r="Y34" s="220">
        <f t="shared" si="12"/>
        <v>0.28079999999999999</v>
      </c>
      <c r="Z34" s="215"/>
      <c r="AA34" s="215"/>
      <c r="AB34" s="215"/>
      <c r="AC34" s="215"/>
      <c r="AD34" s="215"/>
    </row>
    <row r="35" spans="1:32" x14ac:dyDescent="0.25">
      <c r="A35" s="215">
        <f t="shared" si="8"/>
        <v>27</v>
      </c>
      <c r="B35" s="215">
        <v>304</v>
      </c>
      <c r="C35" s="215" t="s">
        <v>61</v>
      </c>
      <c r="D35" s="215" t="s">
        <v>452</v>
      </c>
      <c r="E35" s="215" t="s">
        <v>414</v>
      </c>
      <c r="F35" s="215">
        <v>70</v>
      </c>
      <c r="G35" s="215">
        <v>0.4</v>
      </c>
      <c r="H35" s="218" t="s">
        <v>446</v>
      </c>
      <c r="I35" s="215">
        <v>0.9</v>
      </c>
      <c r="J35" s="215">
        <v>1.2</v>
      </c>
      <c r="K35" s="219">
        <f t="shared" si="0"/>
        <v>84</v>
      </c>
      <c r="L35" s="215"/>
      <c r="M35" s="219">
        <f t="shared" si="1"/>
        <v>84</v>
      </c>
      <c r="N35" s="215"/>
      <c r="O35" s="215"/>
      <c r="P35" s="219">
        <f t="shared" si="2"/>
        <v>50.4</v>
      </c>
      <c r="Q35" s="215"/>
      <c r="R35" s="215"/>
      <c r="S35" s="220">
        <f>F35*3/10000</f>
        <v>2.1000000000000001E-2</v>
      </c>
      <c r="T35" s="220"/>
      <c r="U35" s="220"/>
      <c r="V35" s="220"/>
      <c r="W35" s="215"/>
      <c r="X35" s="220">
        <f t="shared" si="37"/>
        <v>2.1000000000000001E-2</v>
      </c>
      <c r="Y35" s="220">
        <f t="shared" si="12"/>
        <v>2.1000000000000001E-2</v>
      </c>
      <c r="Z35" s="215"/>
      <c r="AA35" s="215"/>
      <c r="AB35" s="215"/>
      <c r="AC35" s="215"/>
      <c r="AD35" s="215"/>
    </row>
    <row r="36" spans="1:32" ht="25.5" x14ac:dyDescent="0.25">
      <c r="A36" s="215">
        <f t="shared" si="8"/>
        <v>28</v>
      </c>
      <c r="B36" s="215">
        <v>305</v>
      </c>
      <c r="C36" s="215" t="s">
        <v>61</v>
      </c>
      <c r="D36" s="214" t="s">
        <v>453</v>
      </c>
      <c r="E36" s="215" t="s">
        <v>414</v>
      </c>
      <c r="F36" s="215">
        <v>353</v>
      </c>
      <c r="G36" s="215">
        <v>0.4</v>
      </c>
      <c r="H36" s="218" t="s">
        <v>446</v>
      </c>
      <c r="I36" s="215">
        <v>0.9</v>
      </c>
      <c r="J36" s="215">
        <v>1.2</v>
      </c>
      <c r="K36" s="219">
        <f t="shared" si="0"/>
        <v>423.59999999999997</v>
      </c>
      <c r="L36" s="215"/>
      <c r="M36" s="219">
        <f t="shared" si="1"/>
        <v>423.59999999999997</v>
      </c>
      <c r="N36" s="215"/>
      <c r="O36" s="215"/>
      <c r="P36" s="219">
        <f t="shared" si="2"/>
        <v>254.15999999999997</v>
      </c>
      <c r="Q36" s="215"/>
      <c r="R36" s="215"/>
      <c r="S36" s="220">
        <f>F36*1/10000</f>
        <v>3.5299999999999998E-2</v>
      </c>
      <c r="T36" s="220">
        <f>F36*2/10000</f>
        <v>7.0599999999999996E-2</v>
      </c>
      <c r="U36" s="220">
        <f>F36*2/10000</f>
        <v>7.0599999999999996E-2</v>
      </c>
      <c r="V36" s="220"/>
      <c r="W36" s="215"/>
      <c r="X36" s="220">
        <f t="shared" si="37"/>
        <v>0.17649999999999999</v>
      </c>
      <c r="Y36" s="220">
        <f t="shared" si="12"/>
        <v>0.17649999999999999</v>
      </c>
      <c r="Z36" s="215"/>
      <c r="AA36" s="215"/>
      <c r="AB36" s="215"/>
      <c r="AC36" s="215"/>
      <c r="AD36" s="215"/>
    </row>
    <row r="37" spans="1:32" ht="25.5" x14ac:dyDescent="0.25">
      <c r="A37" s="215">
        <f t="shared" si="8"/>
        <v>29</v>
      </c>
      <c r="B37" s="215">
        <v>306</v>
      </c>
      <c r="C37" s="215" t="s">
        <v>61</v>
      </c>
      <c r="D37" s="214" t="s">
        <v>454</v>
      </c>
      <c r="E37" s="215" t="s">
        <v>414</v>
      </c>
      <c r="F37" s="215">
        <v>842</v>
      </c>
      <c r="G37" s="215">
        <v>0.4</v>
      </c>
      <c r="H37" s="218" t="s">
        <v>446</v>
      </c>
      <c r="I37" s="215">
        <v>0.9</v>
      </c>
      <c r="J37" s="215">
        <v>1.2</v>
      </c>
      <c r="K37" s="219">
        <f t="shared" ref="K37:K40" si="38">F37*J37</f>
        <v>1010.4</v>
      </c>
      <c r="L37" s="215"/>
      <c r="M37" s="219">
        <f t="shared" ref="M37:M40" si="39">K37+L37</f>
        <v>1010.4</v>
      </c>
      <c r="N37" s="215"/>
      <c r="O37" s="215"/>
      <c r="P37" s="219">
        <f t="shared" si="2"/>
        <v>606.24</v>
      </c>
      <c r="Q37" s="215"/>
      <c r="R37" s="215"/>
      <c r="S37" s="220">
        <f>F37*1/10000</f>
        <v>8.4199999999999997E-2</v>
      </c>
      <c r="T37" s="220">
        <f>F37*2/10000</f>
        <v>0.16839999999999999</v>
      </c>
      <c r="U37" s="220">
        <f>F37*1/10000</f>
        <v>8.4199999999999997E-2</v>
      </c>
      <c r="V37" s="220"/>
      <c r="W37" s="215"/>
      <c r="X37" s="220">
        <f t="shared" si="37"/>
        <v>0.33679999999999999</v>
      </c>
      <c r="Y37" s="220">
        <f t="shared" si="12"/>
        <v>0.33679999999999999</v>
      </c>
      <c r="Z37" s="215"/>
      <c r="AA37" s="215"/>
      <c r="AB37" s="215"/>
      <c r="AC37" s="215"/>
      <c r="AD37" s="215"/>
    </row>
    <row r="38" spans="1:32" x14ac:dyDescent="0.25">
      <c r="A38" s="215">
        <f t="shared" si="8"/>
        <v>30</v>
      </c>
      <c r="B38" s="215">
        <v>307</v>
      </c>
      <c r="C38" s="215" t="s">
        <v>61</v>
      </c>
      <c r="D38" s="215" t="s">
        <v>456</v>
      </c>
      <c r="E38" s="215" t="s">
        <v>414</v>
      </c>
      <c r="F38" s="215">
        <v>449</v>
      </c>
      <c r="G38" s="215">
        <v>0.4</v>
      </c>
      <c r="H38" s="218" t="s">
        <v>446</v>
      </c>
      <c r="I38" s="215">
        <v>0.9</v>
      </c>
      <c r="J38" s="215">
        <v>1.2</v>
      </c>
      <c r="K38" s="219">
        <f t="shared" si="38"/>
        <v>538.79999999999995</v>
      </c>
      <c r="L38" s="215"/>
      <c r="M38" s="219">
        <f t="shared" si="39"/>
        <v>538.79999999999995</v>
      </c>
      <c r="N38" s="215"/>
      <c r="O38" s="215"/>
      <c r="P38" s="219">
        <f t="shared" si="2"/>
        <v>323.27999999999997</v>
      </c>
      <c r="Q38" s="215"/>
      <c r="R38" s="215"/>
      <c r="S38" s="220"/>
      <c r="T38" s="220">
        <f>F38*2/10000</f>
        <v>8.9800000000000005E-2</v>
      </c>
      <c r="U38" s="220">
        <f>F38*1/10000</f>
        <v>4.4900000000000002E-2</v>
      </c>
      <c r="V38" s="220">
        <f>F38*1/10000</f>
        <v>4.4900000000000002E-2</v>
      </c>
      <c r="W38" s="215"/>
      <c r="X38" s="220">
        <f t="shared" si="37"/>
        <v>0.17960000000000001</v>
      </c>
      <c r="Y38" s="220">
        <f t="shared" si="12"/>
        <v>0.17960000000000001</v>
      </c>
      <c r="Z38" s="215"/>
      <c r="AA38" s="215"/>
      <c r="AB38" s="215"/>
      <c r="AC38" s="215"/>
      <c r="AD38" s="215"/>
    </row>
    <row r="39" spans="1:32" x14ac:dyDescent="0.25">
      <c r="A39" s="215"/>
      <c r="B39" s="215">
        <v>308</v>
      </c>
      <c r="C39" s="215" t="s">
        <v>61</v>
      </c>
      <c r="D39" s="215" t="s">
        <v>455</v>
      </c>
      <c r="E39" s="215" t="s">
        <v>414</v>
      </c>
      <c r="F39" s="215">
        <v>459</v>
      </c>
      <c r="G39" s="215">
        <v>0.4</v>
      </c>
      <c r="H39" s="218" t="s">
        <v>446</v>
      </c>
      <c r="I39" s="215">
        <v>0.9</v>
      </c>
      <c r="J39" s="215">
        <v>1.2</v>
      </c>
      <c r="K39" s="219">
        <f t="shared" si="38"/>
        <v>550.79999999999995</v>
      </c>
      <c r="L39" s="215"/>
      <c r="M39" s="219">
        <f t="shared" si="39"/>
        <v>550.79999999999995</v>
      </c>
      <c r="N39" s="215"/>
      <c r="O39" s="215"/>
      <c r="P39" s="219">
        <f t="shared" si="2"/>
        <v>330.47999999999996</v>
      </c>
      <c r="Q39" s="215"/>
      <c r="R39" s="215"/>
      <c r="S39" s="220"/>
      <c r="T39" s="220">
        <f>F39*2/10000</f>
        <v>9.1800000000000007E-2</v>
      </c>
      <c r="U39" s="220">
        <f>F39*1/10000</f>
        <v>4.5900000000000003E-2</v>
      </c>
      <c r="V39" s="220">
        <f>F39*1/10000</f>
        <v>4.5900000000000003E-2</v>
      </c>
      <c r="W39" s="215"/>
      <c r="X39" s="220">
        <f t="shared" si="37"/>
        <v>0.18360000000000001</v>
      </c>
      <c r="Y39" s="220">
        <f t="shared" si="12"/>
        <v>0.18360000000000001</v>
      </c>
      <c r="Z39" s="215"/>
      <c r="AA39" s="215"/>
      <c r="AB39" s="215"/>
      <c r="AC39" s="215"/>
      <c r="AD39" s="215"/>
    </row>
    <row r="40" spans="1:32" x14ac:dyDescent="0.25">
      <c r="A40" s="215"/>
      <c r="B40" s="215">
        <v>309</v>
      </c>
      <c r="C40" s="215" t="s">
        <v>61</v>
      </c>
      <c r="D40" s="215" t="s">
        <v>456</v>
      </c>
      <c r="E40" s="215" t="s">
        <v>414</v>
      </c>
      <c r="F40" s="215">
        <v>823</v>
      </c>
      <c r="G40" s="215">
        <v>0.4</v>
      </c>
      <c r="H40" s="218" t="s">
        <v>445</v>
      </c>
      <c r="I40" s="215">
        <v>1.2</v>
      </c>
      <c r="J40" s="215">
        <v>1.2</v>
      </c>
      <c r="K40" s="219">
        <f t="shared" si="38"/>
        <v>987.59999999999991</v>
      </c>
      <c r="L40" s="215"/>
      <c r="M40" s="219">
        <f t="shared" si="39"/>
        <v>987.59999999999991</v>
      </c>
      <c r="N40" s="215"/>
      <c r="O40" s="215"/>
      <c r="P40" s="219">
        <f t="shared" si="2"/>
        <v>592.55999999999995</v>
      </c>
      <c r="Q40" s="215"/>
      <c r="R40" s="215"/>
      <c r="S40" s="220"/>
      <c r="T40" s="220">
        <f>F40*1/10000</f>
        <v>8.2299999999999998E-2</v>
      </c>
      <c r="U40" s="220">
        <f>F40*3/10000</f>
        <v>0.24690000000000001</v>
      </c>
      <c r="V40" s="220"/>
      <c r="W40" s="215"/>
      <c r="X40" s="220">
        <f t="shared" si="37"/>
        <v>0.32919999999999999</v>
      </c>
      <c r="Y40" s="220">
        <f t="shared" si="12"/>
        <v>0.32919999999999999</v>
      </c>
      <c r="Z40" s="215"/>
      <c r="AA40" s="215"/>
      <c r="AB40" s="215"/>
      <c r="AC40" s="215"/>
      <c r="AD40" s="215"/>
    </row>
    <row r="41" spans="1:32" ht="25.5" x14ac:dyDescent="0.25">
      <c r="A41" s="215"/>
      <c r="B41" s="215">
        <v>310</v>
      </c>
      <c r="C41" s="215" t="s">
        <v>61</v>
      </c>
      <c r="D41" s="214" t="s">
        <v>457</v>
      </c>
      <c r="E41" s="215" t="s">
        <v>414</v>
      </c>
      <c r="F41" s="215">
        <v>1212</v>
      </c>
      <c r="G41" s="215">
        <v>0.4</v>
      </c>
      <c r="H41" s="218" t="s">
        <v>445</v>
      </c>
      <c r="I41" s="215">
        <v>1.2</v>
      </c>
      <c r="J41" s="215">
        <v>1.2</v>
      </c>
      <c r="K41" s="219">
        <f>F41*J41</f>
        <v>1454.3999999999999</v>
      </c>
      <c r="L41" s="215"/>
      <c r="M41" s="219">
        <f>K41+L41</f>
        <v>1454.3999999999999</v>
      </c>
      <c r="N41" s="215"/>
      <c r="O41" s="215"/>
      <c r="P41" s="219">
        <f t="shared" si="2"/>
        <v>872.63999999999987</v>
      </c>
      <c r="Q41" s="215"/>
      <c r="R41" s="215"/>
      <c r="S41" s="220"/>
      <c r="T41" s="220">
        <f>F41*2/10000</f>
        <v>0.2424</v>
      </c>
      <c r="U41" s="220">
        <f>F41*1/10000</f>
        <v>0.1212</v>
      </c>
      <c r="V41" s="220">
        <f>F41*1/10000</f>
        <v>0.1212</v>
      </c>
      <c r="W41" s="215"/>
      <c r="X41" s="220">
        <f t="shared" si="37"/>
        <v>0.48480000000000001</v>
      </c>
      <c r="Y41" s="220">
        <f t="shared" si="12"/>
        <v>0.48480000000000001</v>
      </c>
      <c r="Z41" s="215"/>
      <c r="AA41" s="215"/>
      <c r="AB41" s="215"/>
      <c r="AC41" s="215"/>
      <c r="AD41" s="215"/>
    </row>
    <row r="42" spans="1:32" x14ac:dyDescent="0.25">
      <c r="A42" s="215"/>
      <c r="B42" s="215"/>
      <c r="C42" s="215" t="s">
        <v>61</v>
      </c>
      <c r="D42" s="215"/>
      <c r="E42" s="215" t="s">
        <v>378</v>
      </c>
      <c r="F42" s="215"/>
      <c r="G42" s="215"/>
      <c r="H42" s="218"/>
      <c r="I42" s="215"/>
      <c r="J42" s="215"/>
      <c r="K42" s="219"/>
      <c r="L42" s="219"/>
      <c r="M42" s="219"/>
      <c r="N42" s="215"/>
      <c r="O42" s="215"/>
      <c r="P42" s="219"/>
      <c r="Q42" s="215"/>
      <c r="R42" s="215"/>
      <c r="S42" s="220"/>
      <c r="T42" s="220">
        <f>5101*1/10000</f>
        <v>0.5101</v>
      </c>
      <c r="U42" s="220">
        <f>5101*1/10000</f>
        <v>0.5101</v>
      </c>
      <c r="V42" s="220"/>
      <c r="W42" s="215"/>
      <c r="X42" s="220">
        <f t="shared" si="37"/>
        <v>1.0202</v>
      </c>
      <c r="Y42" s="220">
        <f t="shared" si="12"/>
        <v>1.0202</v>
      </c>
      <c r="Z42" s="215"/>
      <c r="AA42" s="215"/>
      <c r="AB42" s="215"/>
      <c r="AC42" s="215"/>
      <c r="AD42" s="215"/>
    </row>
    <row r="43" spans="1:32" ht="25.5" x14ac:dyDescent="0.25">
      <c r="A43" s="215"/>
      <c r="B43" s="215"/>
      <c r="C43" s="215" t="s">
        <v>270</v>
      </c>
      <c r="D43" s="214" t="s">
        <v>458</v>
      </c>
      <c r="E43" s="215" t="s">
        <v>378</v>
      </c>
      <c r="F43" s="215"/>
      <c r="G43" s="215"/>
      <c r="H43" s="218"/>
      <c r="I43" s="215"/>
      <c r="J43" s="215"/>
      <c r="K43" s="219"/>
      <c r="L43" s="219"/>
      <c r="M43" s="219"/>
      <c r="N43" s="215"/>
      <c r="O43" s="215"/>
      <c r="P43" s="219"/>
      <c r="Q43" s="215"/>
      <c r="R43" s="215"/>
      <c r="S43" s="220"/>
      <c r="T43" s="220"/>
      <c r="U43" s="220">
        <f>1200*2/10000</f>
        <v>0.24</v>
      </c>
      <c r="V43" s="220"/>
      <c r="W43" s="215"/>
      <c r="X43" s="220">
        <f t="shared" si="37"/>
        <v>0.24</v>
      </c>
      <c r="Y43" s="220">
        <f t="shared" si="12"/>
        <v>0.24</v>
      </c>
      <c r="Z43" s="215"/>
      <c r="AA43" s="215"/>
      <c r="AB43" s="215"/>
      <c r="AC43" s="215"/>
      <c r="AD43" s="215"/>
    </row>
    <row r="44" spans="1:32" ht="25.5" x14ac:dyDescent="0.25">
      <c r="A44" s="215"/>
      <c r="B44" s="215"/>
      <c r="C44" s="215" t="s">
        <v>134</v>
      </c>
      <c r="D44" s="214" t="s">
        <v>459</v>
      </c>
      <c r="E44" s="215" t="s">
        <v>378</v>
      </c>
      <c r="F44" s="215"/>
      <c r="G44" s="215"/>
      <c r="H44" s="218"/>
      <c r="I44" s="215"/>
      <c r="J44" s="215"/>
      <c r="K44" s="219"/>
      <c r="L44" s="219"/>
      <c r="M44" s="219"/>
      <c r="N44" s="215"/>
      <c r="O44" s="215"/>
      <c r="P44" s="219"/>
      <c r="Q44" s="215"/>
      <c r="R44" s="215"/>
      <c r="S44" s="220"/>
      <c r="T44" s="220"/>
      <c r="U44" s="220">
        <f>504*2/10000</f>
        <v>0.1008</v>
      </c>
      <c r="V44" s="220">
        <f>504*2/10000</f>
        <v>0.1008</v>
      </c>
      <c r="W44" s="215"/>
      <c r="X44" s="220">
        <f t="shared" si="37"/>
        <v>0.2016</v>
      </c>
      <c r="Y44" s="220">
        <f t="shared" si="12"/>
        <v>0.2016</v>
      </c>
      <c r="Z44" s="215"/>
      <c r="AA44" s="215"/>
      <c r="AB44" s="215"/>
      <c r="AC44" s="215"/>
      <c r="AD44" s="215"/>
    </row>
    <row r="45" spans="1:32" x14ac:dyDescent="0.25">
      <c r="A45" s="223" t="s">
        <v>325</v>
      </c>
      <c r="B45" s="223"/>
      <c r="C45" s="223"/>
      <c r="D45" s="223"/>
      <c r="E45" s="215" t="s">
        <v>420</v>
      </c>
      <c r="F45" s="219">
        <f>SUMIF($E$9:$E$44,$E$45,F9:F44)</f>
        <v>919</v>
      </c>
      <c r="G45" s="219"/>
      <c r="H45" s="219"/>
      <c r="I45" s="219"/>
      <c r="J45" s="219"/>
      <c r="K45" s="219">
        <f>SUMIF($E$9:$E$44,$E$45,K9:K44)</f>
        <v>459.5</v>
      </c>
      <c r="L45" s="224"/>
      <c r="M45" s="219">
        <f>SUMIF($E$9:$E$44,$E$45,M9:M44)</f>
        <v>459.5</v>
      </c>
      <c r="N45" s="219"/>
      <c r="O45" s="219"/>
      <c r="P45" s="219">
        <f>SUMIF($E$9:$E$44,$E$45,P9:P44)</f>
        <v>275.7</v>
      </c>
      <c r="Q45" s="219"/>
      <c r="R45" s="219"/>
      <c r="S45" s="220">
        <f>SUMIF($E$9:$E$44,$E$45,S9:S44)</f>
        <v>0.18380000000000002</v>
      </c>
      <c r="T45" s="220">
        <f>SUMIF($E$9:$E$44,$E$45,T9:T44)</f>
        <v>0.18380000000000002</v>
      </c>
      <c r="U45" s="220">
        <f>SUMIF($E$9:$E$44,$E$45,U9:U44)</f>
        <v>0.18380000000000002</v>
      </c>
      <c r="V45" s="220"/>
      <c r="W45" s="220"/>
      <c r="X45" s="220">
        <f>SUMIF($E$9:$E$44,$E$45,X9:X44)</f>
        <v>0.5514</v>
      </c>
      <c r="Y45" s="220">
        <f>SUMIF($E$9:$E$44,$E$45,Y9:Y44)</f>
        <v>0.5514</v>
      </c>
      <c r="Z45" s="219"/>
      <c r="AA45" s="219"/>
      <c r="AB45" s="219"/>
      <c r="AC45" s="219"/>
      <c r="AD45" s="215"/>
    </row>
    <row r="46" spans="1:32" x14ac:dyDescent="0.25">
      <c r="A46" s="223" t="s">
        <v>325</v>
      </c>
      <c r="B46" s="223"/>
      <c r="C46" s="223"/>
      <c r="D46" s="223"/>
      <c r="E46" s="215" t="s">
        <v>414</v>
      </c>
      <c r="F46" s="215">
        <f>SUMIF($E$9:$E$44,$E$46,F9:F44)</f>
        <v>5197</v>
      </c>
      <c r="G46" s="215"/>
      <c r="H46" s="215"/>
      <c r="I46" s="215"/>
      <c r="J46" s="215"/>
      <c r="K46" s="219">
        <f>SUMIF($E$9:$E$44,$E$46,K9:K44)</f>
        <v>6135.6</v>
      </c>
      <c r="L46" s="219"/>
      <c r="M46" s="219">
        <f>SUMIF($E$9:$E$44,$E$46,M9:M44)</f>
        <v>6135.6</v>
      </c>
      <c r="N46" s="219"/>
      <c r="O46" s="219"/>
      <c r="P46" s="219">
        <f>SUMIF($E$9:$E$44,$E$46,P9:P44)</f>
        <v>3681.3599999999997</v>
      </c>
      <c r="Q46" s="219"/>
      <c r="R46" s="219"/>
      <c r="S46" s="220">
        <f>SUMIF($E$9:$E$44,$E$46,S9:S44)</f>
        <v>0.16930000000000001</v>
      </c>
      <c r="T46" s="220">
        <f>SUMIF($E$9:$E$44,$E$46,T9:T44)</f>
        <v>0.94310000000000005</v>
      </c>
      <c r="U46" s="220">
        <f>SUMIF($E$9:$E$44,$E$46,U9:U44)</f>
        <v>0.82579999999999998</v>
      </c>
      <c r="V46" s="220">
        <f>SUMIF($E$9:$E$44,$E$46,V9:V44)</f>
        <v>0.21200000000000002</v>
      </c>
      <c r="W46" s="220"/>
      <c r="X46" s="220">
        <f>SUMIF($E$9:$E$44,$E$46,X9:X44)</f>
        <v>2.1501999999999999</v>
      </c>
      <c r="Y46" s="220">
        <f>SUMIF($E$9:$E$44,$E$46,Y9:Y44)</f>
        <v>2.1501999999999999</v>
      </c>
      <c r="Z46" s="219"/>
      <c r="AA46" s="219"/>
      <c r="AB46" s="219"/>
      <c r="AC46" s="219"/>
      <c r="AD46" s="215"/>
    </row>
    <row r="47" spans="1:32" x14ac:dyDescent="0.25">
      <c r="A47" s="223" t="s">
        <v>325</v>
      </c>
      <c r="B47" s="223"/>
      <c r="C47" s="223"/>
      <c r="D47" s="223"/>
      <c r="E47" s="215" t="s">
        <v>376</v>
      </c>
      <c r="F47" s="215">
        <f>SUMIF($E$9:$E$44,E47,$F$9:$F$44)</f>
        <v>51</v>
      </c>
      <c r="G47" s="215"/>
      <c r="H47" s="215"/>
      <c r="I47" s="215"/>
      <c r="J47" s="215"/>
      <c r="K47" s="219">
        <f>SUMIF($E$9:$E$44,$E$47,K9:K44)</f>
        <v>61.199999999999996</v>
      </c>
      <c r="L47" s="219"/>
      <c r="M47" s="219">
        <f>SUMIF($E$9:$E$44,$E$47,M9:M44)</f>
        <v>61.199999999999996</v>
      </c>
      <c r="N47" s="219"/>
      <c r="O47" s="219"/>
      <c r="P47" s="219">
        <f>SUMIF($E$9:$E$44,$E$47,P9:P44)</f>
        <v>36.72</v>
      </c>
      <c r="Q47" s="219"/>
      <c r="R47" s="219"/>
      <c r="S47" s="220"/>
      <c r="T47" s="220">
        <f>SUMIF($E$9:$E$44,$E$47,T9:T44)</f>
        <v>1.0200000000000001E-2</v>
      </c>
      <c r="U47" s="220">
        <f>SUMIF($E$9:$E$44,$E$47,U9:U44)</f>
        <v>1.0200000000000001E-2</v>
      </c>
      <c r="V47" s="220"/>
      <c r="W47" s="220"/>
      <c r="X47" s="220">
        <f>SUMIF($E$9:$E$44,$E$47,X9:X44)</f>
        <v>2.0400000000000001E-2</v>
      </c>
      <c r="Y47" s="220">
        <f>SUMIF($E$9:$E$44,$E$47,Y9:Y44)</f>
        <v>2.0400000000000001E-2</v>
      </c>
      <c r="Z47" s="219"/>
      <c r="AA47" s="219"/>
      <c r="AB47" s="219"/>
      <c r="AC47" s="219"/>
      <c r="AD47" s="215"/>
    </row>
    <row r="48" spans="1:32" x14ac:dyDescent="0.25">
      <c r="A48" s="223" t="s">
        <v>325</v>
      </c>
      <c r="B48" s="223"/>
      <c r="C48" s="223"/>
      <c r="D48" s="223"/>
      <c r="E48" s="215" t="s">
        <v>380</v>
      </c>
      <c r="F48" s="215">
        <f>SUMIF($E$9:$E$44,E48,$F$9:$F$44)</f>
        <v>366</v>
      </c>
      <c r="G48" s="215"/>
      <c r="H48" s="215"/>
      <c r="I48" s="215"/>
      <c r="J48" s="215"/>
      <c r="K48" s="219">
        <f>SUMIF($E$9:$E$44,$E$48,K9:K44)</f>
        <v>439.2</v>
      </c>
      <c r="L48" s="219"/>
      <c r="M48" s="219">
        <f>SUMIF($E$9:$E$44,$E$48,M9:M44)</f>
        <v>439.2</v>
      </c>
      <c r="N48" s="219"/>
      <c r="O48" s="219"/>
      <c r="P48" s="219">
        <f>SUMIF($E$9:$E$44,$E$48,P9:P44)</f>
        <v>263.52</v>
      </c>
      <c r="Q48" s="219"/>
      <c r="R48" s="219"/>
      <c r="S48" s="220">
        <f>SUMIF($E$9:$E$44,$E$48,S9:S44)</f>
        <v>7.3200000000000001E-2</v>
      </c>
      <c r="T48" s="220">
        <f>SUMIF($E$9:$E$44,$E$48,T9:T44)</f>
        <v>7.3200000000000001E-2</v>
      </c>
      <c r="U48" s="220">
        <f>SUMIF($E$9:$E$44,$E$48,U9:U44)</f>
        <v>7.3200000000000001E-2</v>
      </c>
      <c r="V48" s="220"/>
      <c r="W48" s="220"/>
      <c r="X48" s="220">
        <f>SUMIF($E$9:$E$44,$E$48,X9:X44)</f>
        <v>0.21960000000000002</v>
      </c>
      <c r="Y48" s="220">
        <f>SUMIF($E$9:$E$44,$E$48,Y9:Y44)</f>
        <v>0.21960000000000002</v>
      </c>
      <c r="Z48" s="219"/>
      <c r="AA48" s="219"/>
      <c r="AB48" s="219"/>
      <c r="AC48" s="219"/>
      <c r="AD48" s="215"/>
    </row>
    <row r="49" spans="1:30" x14ac:dyDescent="0.25">
      <c r="A49" s="223" t="s">
        <v>325</v>
      </c>
      <c r="B49" s="223"/>
      <c r="C49" s="223"/>
      <c r="D49" s="223"/>
      <c r="E49" s="215" t="s">
        <v>377</v>
      </c>
      <c r="F49" s="215">
        <f>SUMIF($E$9:$E$44,E49,$F$9:$F$44)</f>
        <v>3591</v>
      </c>
      <c r="G49" s="215"/>
      <c r="H49" s="215"/>
      <c r="I49" s="215"/>
      <c r="J49" s="215"/>
      <c r="K49" s="219">
        <f>SUMIF($E$9:$E$44,$E$49,K9:K44)</f>
        <v>5936.88</v>
      </c>
      <c r="L49" s="219"/>
      <c r="M49" s="219">
        <f>SUMIF($E$9:$E$44,$E$49,M9:M44)</f>
        <v>5936.88</v>
      </c>
      <c r="N49" s="219"/>
      <c r="O49" s="219"/>
      <c r="P49" s="219">
        <f>SUMIF($E$9:$E$44,$E$49,P9:P44)</f>
        <v>1201.0730639999999</v>
      </c>
      <c r="Q49" s="219"/>
      <c r="R49" s="219"/>
      <c r="S49" s="220"/>
      <c r="T49" s="220">
        <f>SUMIF($E$9:$E$44,$E$49,T9:T44)</f>
        <v>0.5423</v>
      </c>
      <c r="U49" s="220">
        <f>SUMIF($E$9:$E$44,$E$49,U9:U44)</f>
        <v>0.60529999999999984</v>
      </c>
      <c r="V49" s="220"/>
      <c r="W49" s="220"/>
      <c r="X49" s="220">
        <f>SUMIF($E$9:$E$44,$E$49,X9:X44)</f>
        <v>1.7974000000000001</v>
      </c>
      <c r="Y49" s="220">
        <f>SUMIF($E$9:$E$44,$E$49,Y9:Y44)</f>
        <v>1.7974000000000001</v>
      </c>
      <c r="Z49" s="219"/>
      <c r="AA49" s="219"/>
      <c r="AB49" s="219"/>
      <c r="AC49" s="219"/>
      <c r="AD49" s="215"/>
    </row>
    <row r="50" spans="1:30" x14ac:dyDescent="0.25">
      <c r="A50" s="223" t="s">
        <v>325</v>
      </c>
      <c r="B50" s="223"/>
      <c r="C50" s="223"/>
      <c r="D50" s="223"/>
      <c r="E50" s="215" t="s">
        <v>378</v>
      </c>
      <c r="F50" s="215"/>
      <c r="G50" s="215"/>
      <c r="H50" s="215"/>
      <c r="I50" s="215"/>
      <c r="J50" s="215"/>
      <c r="K50" s="219"/>
      <c r="L50" s="219"/>
      <c r="M50" s="219"/>
      <c r="N50" s="219"/>
      <c r="O50" s="219"/>
      <c r="P50" s="219"/>
      <c r="Q50" s="219"/>
      <c r="R50" s="219"/>
      <c r="S50" s="220"/>
      <c r="T50" s="220">
        <f>SUMIF($E$9:$E$44,$E$50,T9:T44)</f>
        <v>0.73709999999999998</v>
      </c>
      <c r="U50" s="220">
        <f>SUMIF($E$9:$E$44,$E$50,U9:U44)</f>
        <v>0.96440000000000003</v>
      </c>
      <c r="V50" s="220">
        <f>SUMIF($E$9:$E$44,$E$50,V9:V44)</f>
        <v>0.1008</v>
      </c>
      <c r="W50" s="220"/>
      <c r="X50" s="220">
        <f>SUMIF($E$9:$E$44,$E$50,X9:X44)</f>
        <v>1.8023</v>
      </c>
      <c r="Y50" s="220">
        <f>SUMIF($E$9:$E$44,$E$50,Y9:Y44)</f>
        <v>1.8023</v>
      </c>
      <c r="Z50" s="219"/>
      <c r="AA50" s="219"/>
      <c r="AB50" s="219"/>
      <c r="AC50" s="219"/>
      <c r="AD50" s="215"/>
    </row>
    <row r="51" spans="1:30" x14ac:dyDescent="0.25">
      <c r="A51" s="225" t="s">
        <v>382</v>
      </c>
      <c r="B51" s="225"/>
      <c r="C51" s="225"/>
      <c r="D51" s="225"/>
      <c r="E51" s="215"/>
      <c r="F51" s="219">
        <f>SUM(F45:F50)</f>
        <v>10124</v>
      </c>
      <c r="G51" s="219"/>
      <c r="H51" s="219"/>
      <c r="I51" s="219"/>
      <c r="J51" s="219"/>
      <c r="K51" s="219">
        <f>SUM(K45:K50)</f>
        <v>13032.380000000001</v>
      </c>
      <c r="L51" s="219"/>
      <c r="M51" s="219">
        <f>SUM(M45:M50)</f>
        <v>13032.380000000001</v>
      </c>
      <c r="N51" s="219"/>
      <c r="O51" s="219"/>
      <c r="P51" s="219">
        <f>SUM(P45:P50)</f>
        <v>5458.3730639999994</v>
      </c>
      <c r="Q51" s="219"/>
      <c r="R51" s="219"/>
      <c r="S51" s="220">
        <f>SUM(S45:S50)</f>
        <v>0.42630000000000001</v>
      </c>
      <c r="T51" s="220">
        <f>SUM(T45:T50)</f>
        <v>2.4897</v>
      </c>
      <c r="U51" s="220">
        <f>SUM(U45:U50)</f>
        <v>2.6626999999999996</v>
      </c>
      <c r="V51" s="220">
        <f>SUM(V45:V50)</f>
        <v>0.31280000000000002</v>
      </c>
      <c r="W51" s="220"/>
      <c r="X51" s="220">
        <f>SUM(X45:X50)</f>
        <v>6.5413000000000006</v>
      </c>
      <c r="Y51" s="220">
        <f>SUM(Y45:Y50)</f>
        <v>6.5413000000000006</v>
      </c>
      <c r="Z51" s="219"/>
      <c r="AA51" s="219"/>
      <c r="AB51" s="219"/>
      <c r="AC51" s="219"/>
      <c r="AD51" s="219"/>
    </row>
    <row r="52" spans="1:30" x14ac:dyDescent="0.25"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</row>
    <row r="53" spans="1:30" x14ac:dyDescent="0.25">
      <c r="A53" s="227" t="s">
        <v>72</v>
      </c>
      <c r="B53" s="228"/>
      <c r="C53" s="228"/>
      <c r="D53" s="228"/>
      <c r="E53" s="228"/>
      <c r="F53" s="228"/>
      <c r="G53" s="228"/>
      <c r="H53" s="229"/>
      <c r="I53" s="229"/>
      <c r="J53" s="229"/>
      <c r="K53" s="229"/>
      <c r="L53" s="229"/>
      <c r="M53" s="229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</row>
    <row r="54" spans="1:30" x14ac:dyDescent="0.25">
      <c r="A54" s="231">
        <v>1</v>
      </c>
      <c r="B54" s="232" t="s">
        <v>383</v>
      </c>
      <c r="C54" s="232"/>
      <c r="D54" s="233"/>
      <c r="E54" s="232"/>
      <c r="F54" s="232"/>
      <c r="G54" s="232"/>
      <c r="H54" s="232"/>
      <c r="I54" s="232"/>
      <c r="J54" s="232"/>
      <c r="K54" s="232"/>
      <c r="L54" s="234"/>
      <c r="M54" s="234">
        <v>9</v>
      </c>
      <c r="N54" s="210" t="s">
        <v>384</v>
      </c>
      <c r="O54" s="211"/>
    </row>
    <row r="55" spans="1:30" x14ac:dyDescent="0.25">
      <c r="A55" s="231">
        <v>2</v>
      </c>
      <c r="B55" s="232" t="s">
        <v>385</v>
      </c>
      <c r="C55" s="232"/>
      <c r="D55" s="233"/>
      <c r="E55" s="232"/>
      <c r="F55" s="232"/>
      <c r="G55" s="232"/>
      <c r="H55" s="232"/>
      <c r="I55" s="232"/>
      <c r="J55" s="232"/>
      <c r="K55" s="232"/>
      <c r="L55" s="234"/>
      <c r="M55" s="234"/>
      <c r="N55" s="235" t="s">
        <v>386</v>
      </c>
      <c r="O55" s="227" t="s">
        <v>387</v>
      </c>
      <c r="P55" s="227"/>
      <c r="Q55" s="227"/>
      <c r="R55" s="227"/>
      <c r="S55" s="227"/>
      <c r="T55" s="227"/>
      <c r="U55" s="227"/>
    </row>
    <row r="56" spans="1:30" x14ac:dyDescent="0.25">
      <c r="A56" s="231">
        <v>3</v>
      </c>
      <c r="B56" s="232" t="s">
        <v>388</v>
      </c>
      <c r="C56" s="232"/>
      <c r="D56" s="233"/>
      <c r="E56" s="232"/>
      <c r="F56" s="232"/>
      <c r="G56" s="232"/>
      <c r="H56" s="232"/>
      <c r="I56" s="232"/>
      <c r="J56" s="232"/>
      <c r="K56" s="232"/>
      <c r="L56" s="234"/>
      <c r="M56" s="234"/>
      <c r="N56" s="235" t="s">
        <v>389</v>
      </c>
      <c r="O56" s="227" t="s">
        <v>390</v>
      </c>
      <c r="P56" s="227"/>
      <c r="Q56" s="227"/>
      <c r="R56" s="227"/>
      <c r="S56" s="227"/>
      <c r="T56" s="227"/>
      <c r="U56" s="227"/>
    </row>
    <row r="57" spans="1:30" x14ac:dyDescent="0.25">
      <c r="A57" s="231">
        <v>4</v>
      </c>
      <c r="B57" s="232" t="s">
        <v>391</v>
      </c>
      <c r="C57" s="232"/>
      <c r="D57" s="233"/>
      <c r="E57" s="232"/>
      <c r="F57" s="232"/>
      <c r="G57" s="232"/>
      <c r="H57" s="232"/>
      <c r="I57" s="232"/>
      <c r="J57" s="232"/>
      <c r="K57" s="232"/>
      <c r="L57" s="232"/>
      <c r="M57" s="232"/>
      <c r="N57" s="235" t="s">
        <v>392</v>
      </c>
      <c r="O57" s="227" t="s">
        <v>393</v>
      </c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</row>
    <row r="58" spans="1:30" x14ac:dyDescent="0.25">
      <c r="A58" s="231">
        <v>5</v>
      </c>
      <c r="B58" s="227" t="s">
        <v>394</v>
      </c>
      <c r="C58" s="227"/>
      <c r="D58" s="236"/>
      <c r="E58" s="237"/>
      <c r="F58" s="237"/>
      <c r="G58" s="237"/>
      <c r="H58" s="237"/>
      <c r="I58" s="237"/>
      <c r="J58" s="237"/>
      <c r="K58" s="237"/>
      <c r="L58" s="237"/>
      <c r="M58" s="237"/>
      <c r="N58" s="235" t="s">
        <v>395</v>
      </c>
      <c r="O58" s="227" t="s">
        <v>396</v>
      </c>
      <c r="V58" s="227"/>
      <c r="W58" s="227"/>
      <c r="X58" s="227"/>
      <c r="Y58" s="227"/>
      <c r="Z58" s="227"/>
      <c r="AA58" s="227"/>
      <c r="AB58" s="227"/>
      <c r="AC58" s="227"/>
      <c r="AD58" s="227"/>
    </row>
    <row r="59" spans="1:30" x14ac:dyDescent="0.25">
      <c r="A59" s="231">
        <v>6</v>
      </c>
      <c r="B59" s="227" t="s">
        <v>397</v>
      </c>
      <c r="C59" s="227"/>
      <c r="D59" s="236"/>
      <c r="E59" s="237"/>
      <c r="F59" s="237"/>
      <c r="G59" s="237"/>
      <c r="H59" s="237"/>
      <c r="I59" s="237"/>
      <c r="J59" s="237"/>
      <c r="K59" s="237"/>
      <c r="L59" s="237"/>
      <c r="M59" s="237"/>
      <c r="N59" s="227"/>
      <c r="O59" s="227" t="s">
        <v>398</v>
      </c>
      <c r="V59" s="227"/>
      <c r="W59" s="227"/>
      <c r="X59" s="227"/>
      <c r="Y59" s="227"/>
      <c r="Z59" s="227"/>
      <c r="AA59" s="227"/>
      <c r="AB59" s="227"/>
      <c r="AC59" s="227"/>
      <c r="AD59" s="227"/>
    </row>
    <row r="60" spans="1:30" x14ac:dyDescent="0.25">
      <c r="A60" s="231">
        <v>7</v>
      </c>
      <c r="B60" s="227" t="s">
        <v>399</v>
      </c>
      <c r="C60" s="227"/>
      <c r="D60" s="236"/>
      <c r="E60" s="237"/>
      <c r="F60" s="227"/>
      <c r="G60" s="227"/>
      <c r="H60" s="227"/>
      <c r="I60" s="227"/>
      <c r="J60" s="227"/>
      <c r="K60" s="227"/>
      <c r="L60" s="227"/>
      <c r="M60" s="227">
        <v>10</v>
      </c>
      <c r="N60" s="227" t="s">
        <v>400</v>
      </c>
      <c r="O60" s="227"/>
      <c r="P60" s="227"/>
      <c r="Q60" s="227"/>
      <c r="R60" s="227"/>
      <c r="S60" s="227"/>
      <c r="T60" s="238" t="s">
        <v>401</v>
      </c>
      <c r="U60" s="227"/>
      <c r="V60" s="227"/>
      <c r="W60" s="227"/>
      <c r="X60" s="227"/>
      <c r="Y60" s="227"/>
      <c r="Z60" s="227"/>
      <c r="AA60" s="227"/>
      <c r="AB60" s="227"/>
      <c r="AC60" s="227"/>
      <c r="AD60" s="227"/>
    </row>
    <row r="61" spans="1:30" x14ac:dyDescent="0.25">
      <c r="A61" s="231">
        <v>8</v>
      </c>
      <c r="B61" s="227" t="s">
        <v>402</v>
      </c>
      <c r="C61" s="227"/>
      <c r="D61" s="227"/>
      <c r="E61" s="227"/>
      <c r="F61" s="227"/>
      <c r="G61" s="227"/>
      <c r="H61" s="227"/>
      <c r="I61" s="227"/>
      <c r="J61" s="227"/>
      <c r="K61" s="227"/>
      <c r="L61" s="227"/>
      <c r="M61" s="227"/>
      <c r="N61" s="235" t="s">
        <v>42</v>
      </c>
      <c r="O61" s="227" t="s">
        <v>403</v>
      </c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</row>
    <row r="62" spans="1:30" x14ac:dyDescent="0.25">
      <c r="A62" s="231"/>
      <c r="B62" s="235" t="s">
        <v>375</v>
      </c>
      <c r="C62" s="227" t="s">
        <v>404</v>
      </c>
      <c r="D62" s="227"/>
      <c r="E62" s="227"/>
      <c r="F62" s="235" t="s">
        <v>376</v>
      </c>
      <c r="G62" s="239" t="s">
        <v>405</v>
      </c>
      <c r="H62" s="227"/>
      <c r="J62" s="227"/>
      <c r="K62" s="227"/>
      <c r="L62" s="227"/>
      <c r="M62" s="227"/>
      <c r="N62" s="235" t="s">
        <v>406</v>
      </c>
      <c r="O62" s="227" t="s">
        <v>407</v>
      </c>
      <c r="P62" s="227"/>
      <c r="Q62" s="227"/>
      <c r="R62" s="227"/>
      <c r="S62" s="227"/>
      <c r="T62" s="227"/>
      <c r="U62" s="227"/>
      <c r="V62" s="227"/>
      <c r="W62" s="227"/>
      <c r="X62" s="227"/>
      <c r="Y62" s="227"/>
      <c r="Z62" s="227"/>
      <c r="AA62" s="227"/>
      <c r="AB62" s="227"/>
      <c r="AC62" s="227"/>
      <c r="AD62" s="227"/>
    </row>
    <row r="63" spans="1:30" x14ac:dyDescent="0.25">
      <c r="A63" s="227"/>
      <c r="B63" s="235" t="s">
        <v>408</v>
      </c>
      <c r="C63" s="239" t="s">
        <v>409</v>
      </c>
      <c r="D63" s="227"/>
      <c r="E63" s="227"/>
      <c r="F63" s="235" t="s">
        <v>377</v>
      </c>
      <c r="G63" s="239" t="s">
        <v>410</v>
      </c>
      <c r="J63" s="227"/>
      <c r="K63" s="227"/>
      <c r="L63" s="227"/>
      <c r="M63" s="227"/>
      <c r="N63" s="235" t="s">
        <v>360</v>
      </c>
      <c r="O63" s="227" t="s">
        <v>411</v>
      </c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227"/>
      <c r="AA63" s="227"/>
      <c r="AB63" s="227"/>
      <c r="AC63" s="227"/>
      <c r="AD63" s="227"/>
    </row>
    <row r="64" spans="1:30" x14ac:dyDescent="0.25">
      <c r="A64" s="227"/>
      <c r="B64" s="235" t="s">
        <v>412</v>
      </c>
      <c r="C64" s="239" t="s">
        <v>413</v>
      </c>
      <c r="D64" s="227"/>
      <c r="E64" s="227"/>
      <c r="F64" s="235" t="s">
        <v>414</v>
      </c>
      <c r="G64" s="239" t="s">
        <v>415</v>
      </c>
      <c r="H64" s="227"/>
      <c r="J64" s="227"/>
      <c r="K64" s="227"/>
      <c r="L64" s="227"/>
      <c r="M64" s="227"/>
      <c r="N64" s="235" t="s">
        <v>416</v>
      </c>
      <c r="O64" s="227" t="s">
        <v>417</v>
      </c>
      <c r="P64" s="227"/>
      <c r="Q64" s="227"/>
      <c r="R64" s="227"/>
      <c r="S64" s="227"/>
      <c r="T64" s="227"/>
      <c r="U64" s="227"/>
      <c r="V64" s="227"/>
      <c r="W64" s="227"/>
      <c r="X64" s="227"/>
      <c r="Y64" s="227"/>
      <c r="Z64" s="227"/>
      <c r="AA64" s="227"/>
      <c r="AB64" s="227"/>
      <c r="AC64" s="227"/>
      <c r="AD64" s="227"/>
    </row>
    <row r="65" spans="1:30" x14ac:dyDescent="0.25">
      <c r="B65" s="235" t="s">
        <v>418</v>
      </c>
      <c r="C65" s="239" t="s">
        <v>419</v>
      </c>
      <c r="E65" s="227"/>
      <c r="F65" s="235" t="s">
        <v>420</v>
      </c>
      <c r="G65" s="239" t="s">
        <v>421</v>
      </c>
      <c r="H65" s="227"/>
      <c r="J65" s="227"/>
      <c r="K65" s="227"/>
      <c r="L65" s="227"/>
      <c r="M65" s="227"/>
      <c r="N65" s="231" t="s">
        <v>55</v>
      </c>
      <c r="O65" s="227" t="s">
        <v>422</v>
      </c>
    </row>
    <row r="66" spans="1:30" x14ac:dyDescent="0.25">
      <c r="B66" s="235" t="s">
        <v>380</v>
      </c>
      <c r="C66" s="239" t="s">
        <v>423</v>
      </c>
      <c r="D66" s="227"/>
      <c r="E66" s="227"/>
      <c r="F66" s="235" t="s">
        <v>47</v>
      </c>
      <c r="G66" s="239" t="s">
        <v>424</v>
      </c>
      <c r="H66" s="227"/>
      <c r="J66" s="227"/>
      <c r="K66" s="227"/>
      <c r="L66" s="227"/>
      <c r="M66" s="227"/>
      <c r="N66" s="231" t="s">
        <v>425</v>
      </c>
      <c r="O66" s="227" t="s">
        <v>426</v>
      </c>
    </row>
    <row r="67" spans="1:30" x14ac:dyDescent="0.25">
      <c r="B67" s="235" t="s">
        <v>381</v>
      </c>
      <c r="C67" s="239" t="s">
        <v>427</v>
      </c>
      <c r="F67" s="227" t="s">
        <v>378</v>
      </c>
      <c r="G67" s="227"/>
      <c r="H67" s="227" t="s">
        <v>428</v>
      </c>
      <c r="I67" s="227"/>
      <c r="J67" s="227"/>
      <c r="K67" s="227"/>
      <c r="L67" s="227"/>
      <c r="M67" s="227"/>
      <c r="N67" s="235" t="s">
        <v>429</v>
      </c>
      <c r="O67" s="227" t="s">
        <v>430</v>
      </c>
    </row>
    <row r="68" spans="1:30" x14ac:dyDescent="0.25">
      <c r="B68" s="235" t="s">
        <v>431</v>
      </c>
      <c r="C68" s="239" t="s">
        <v>432</v>
      </c>
      <c r="D68" s="227"/>
      <c r="E68" s="227"/>
      <c r="F68" s="227" t="s">
        <v>379</v>
      </c>
      <c r="G68" s="227" t="s">
        <v>433</v>
      </c>
      <c r="H68" s="227"/>
      <c r="I68" s="227"/>
      <c r="J68" s="227"/>
      <c r="K68" s="227"/>
      <c r="L68" s="227"/>
      <c r="M68" s="227">
        <v>11</v>
      </c>
      <c r="N68" s="227" t="s">
        <v>434</v>
      </c>
    </row>
    <row r="69" spans="1:30" x14ac:dyDescent="0.25">
      <c r="B69" s="235" t="s">
        <v>435</v>
      </c>
      <c r="C69" s="239" t="s">
        <v>436</v>
      </c>
      <c r="D69" s="227"/>
      <c r="E69" s="227"/>
      <c r="F69" s="227"/>
      <c r="G69" s="227"/>
      <c r="H69" s="227"/>
      <c r="I69" s="227"/>
      <c r="J69" s="227"/>
      <c r="K69" s="227"/>
      <c r="L69" s="227"/>
      <c r="M69" s="227">
        <v>12</v>
      </c>
      <c r="N69" s="227" t="s">
        <v>437</v>
      </c>
    </row>
    <row r="70" spans="1:30" x14ac:dyDescent="0.25">
      <c r="M70" s="227">
        <v>13</v>
      </c>
      <c r="N70" s="240" t="s">
        <v>76</v>
      </c>
    </row>
    <row r="71" spans="1:30" x14ac:dyDescent="0.25">
      <c r="B71" s="235"/>
      <c r="C71" s="239"/>
    </row>
    <row r="74" spans="1:30" x14ac:dyDescent="0.25">
      <c r="B74" s="235"/>
      <c r="D74" s="227"/>
    </row>
    <row r="75" spans="1:30" ht="15.75" thickBot="1" x14ac:dyDescent="0.3">
      <c r="A75" s="241"/>
      <c r="B75" s="241"/>
      <c r="C75" s="241"/>
      <c r="D75" s="241"/>
      <c r="E75" s="241"/>
      <c r="F75" s="241"/>
      <c r="G75" s="241"/>
      <c r="H75" s="241"/>
      <c r="I75" s="241"/>
      <c r="J75" s="241"/>
      <c r="K75" s="241"/>
      <c r="L75" s="241"/>
      <c r="M75" s="241"/>
      <c r="N75" s="241"/>
      <c r="O75" s="241"/>
      <c r="P75" s="241"/>
      <c r="Q75" s="241"/>
      <c r="R75" s="241"/>
      <c r="S75" s="241"/>
      <c r="T75" s="241"/>
      <c r="U75" s="241"/>
      <c r="V75" s="241"/>
      <c r="W75" s="241"/>
      <c r="X75" s="241"/>
      <c r="Y75" s="241"/>
      <c r="Z75" s="241"/>
      <c r="AA75" s="241"/>
      <c r="AB75" s="241"/>
      <c r="AC75" s="241"/>
      <c r="AD75" s="241"/>
    </row>
    <row r="76" spans="1:30" x14ac:dyDescent="0.25">
      <c r="A76" s="210" t="s">
        <v>77</v>
      </c>
      <c r="D76" s="211"/>
      <c r="E76" s="211"/>
      <c r="F76" s="211" t="s">
        <v>78</v>
      </c>
      <c r="G76" s="211"/>
      <c r="I76" s="211"/>
    </row>
    <row r="77" spans="1:30" x14ac:dyDescent="0.25">
      <c r="A77" s="210" t="s">
        <v>79</v>
      </c>
      <c r="D77" s="82" t="s">
        <v>58</v>
      </c>
    </row>
    <row r="78" spans="1:30" ht="15.75" thickBot="1" x14ac:dyDescent="0.3">
      <c r="A78" s="242" t="s">
        <v>438</v>
      </c>
    </row>
    <row r="79" spans="1:30" x14ac:dyDescent="0.25">
      <c r="A79" s="243" t="s">
        <v>439</v>
      </c>
      <c r="B79" s="244"/>
      <c r="C79" s="244"/>
      <c r="D79" s="244"/>
      <c r="E79" s="245" t="s">
        <v>375</v>
      </c>
      <c r="F79" s="245">
        <f t="shared" ref="F79:F86" si="40">SUMIFS($F$9:$F$44,$C$9:$C$44,$D$77,$E$9:$E$44,E79)</f>
        <v>0</v>
      </c>
      <c r="G79" s="245"/>
      <c r="H79" s="245"/>
      <c r="I79" s="245"/>
      <c r="J79" s="245"/>
      <c r="K79" s="246">
        <f t="shared" ref="K79:AC79" si="41">SUMIFS(K9:K44,$C$9:$C$44,$D$77,$E$9:$E$44,$E$79)</f>
        <v>0</v>
      </c>
      <c r="L79" s="246">
        <f t="shared" si="41"/>
        <v>0</v>
      </c>
      <c r="M79" s="246">
        <f t="shared" si="41"/>
        <v>0</v>
      </c>
      <c r="N79" s="246">
        <f t="shared" si="41"/>
        <v>0</v>
      </c>
      <c r="O79" s="246">
        <f t="shared" si="41"/>
        <v>0</v>
      </c>
      <c r="P79" s="246">
        <f t="shared" si="41"/>
        <v>0</v>
      </c>
      <c r="Q79" s="246">
        <f t="shared" si="41"/>
        <v>0</v>
      </c>
      <c r="R79" s="246">
        <f t="shared" si="41"/>
        <v>0</v>
      </c>
      <c r="S79" s="245">
        <f t="shared" si="41"/>
        <v>0</v>
      </c>
      <c r="T79" s="245">
        <f t="shared" si="41"/>
        <v>0</v>
      </c>
      <c r="U79" s="245">
        <f t="shared" si="41"/>
        <v>0</v>
      </c>
      <c r="V79" s="245">
        <f t="shared" si="41"/>
        <v>0</v>
      </c>
      <c r="W79" s="245">
        <f t="shared" si="41"/>
        <v>0</v>
      </c>
      <c r="X79" s="245">
        <f t="shared" si="41"/>
        <v>0</v>
      </c>
      <c r="Y79" s="245">
        <f t="shared" si="41"/>
        <v>0</v>
      </c>
      <c r="Z79" s="245">
        <f t="shared" si="41"/>
        <v>0</v>
      </c>
      <c r="AA79" s="245">
        <f t="shared" si="41"/>
        <v>0</v>
      </c>
      <c r="AB79" s="245">
        <f t="shared" si="41"/>
        <v>0</v>
      </c>
      <c r="AC79" s="245">
        <f t="shared" si="41"/>
        <v>0</v>
      </c>
      <c r="AD79" s="247"/>
    </row>
    <row r="80" spans="1:30" x14ac:dyDescent="0.25">
      <c r="A80" s="248" t="s">
        <v>439</v>
      </c>
      <c r="B80" s="249"/>
      <c r="C80" s="249"/>
      <c r="D80" s="249"/>
      <c r="E80" s="250" t="s">
        <v>380</v>
      </c>
      <c r="F80" s="250">
        <f t="shared" si="40"/>
        <v>0</v>
      </c>
      <c r="G80" s="250"/>
      <c r="H80" s="250"/>
      <c r="I80" s="250"/>
      <c r="J80" s="250"/>
      <c r="K80" s="251">
        <f t="shared" ref="K80:AC80" si="42">SUMIFS(K9:K44,$C$9:$C$44,$D$77,$E$9:$E$44,$E$80)</f>
        <v>0</v>
      </c>
      <c r="L80" s="251">
        <f t="shared" si="42"/>
        <v>0</v>
      </c>
      <c r="M80" s="251">
        <f t="shared" si="42"/>
        <v>0</v>
      </c>
      <c r="N80" s="251">
        <f t="shared" si="42"/>
        <v>0</v>
      </c>
      <c r="O80" s="251">
        <f t="shared" si="42"/>
        <v>0</v>
      </c>
      <c r="P80" s="251">
        <f t="shared" si="42"/>
        <v>0</v>
      </c>
      <c r="Q80" s="251">
        <f t="shared" si="42"/>
        <v>0</v>
      </c>
      <c r="R80" s="251">
        <f t="shared" si="42"/>
        <v>0</v>
      </c>
      <c r="S80" s="250">
        <f t="shared" si="42"/>
        <v>0</v>
      </c>
      <c r="T80" s="250">
        <f t="shared" si="42"/>
        <v>0</v>
      </c>
      <c r="U80" s="250">
        <f t="shared" si="42"/>
        <v>0</v>
      </c>
      <c r="V80" s="250">
        <f t="shared" si="42"/>
        <v>0</v>
      </c>
      <c r="W80" s="250">
        <f t="shared" si="42"/>
        <v>0</v>
      </c>
      <c r="X80" s="250">
        <f t="shared" si="42"/>
        <v>0</v>
      </c>
      <c r="Y80" s="250">
        <f t="shared" si="42"/>
        <v>0</v>
      </c>
      <c r="Z80" s="250">
        <f t="shared" si="42"/>
        <v>0</v>
      </c>
      <c r="AA80" s="250">
        <f t="shared" si="42"/>
        <v>0</v>
      </c>
      <c r="AB80" s="250">
        <f t="shared" si="42"/>
        <v>0</v>
      </c>
      <c r="AC80" s="250">
        <f t="shared" si="42"/>
        <v>0</v>
      </c>
      <c r="AD80" s="252"/>
    </row>
    <row r="81" spans="1:30" x14ac:dyDescent="0.25">
      <c r="A81" s="248" t="s">
        <v>439</v>
      </c>
      <c r="B81" s="249"/>
      <c r="C81" s="249"/>
      <c r="D81" s="249"/>
      <c r="E81" s="250" t="s">
        <v>376</v>
      </c>
      <c r="F81" s="250">
        <f t="shared" si="40"/>
        <v>0</v>
      </c>
      <c r="G81" s="250"/>
      <c r="H81" s="250"/>
      <c r="I81" s="250"/>
      <c r="J81" s="250"/>
      <c r="K81" s="251">
        <f t="shared" ref="K81:AC81" si="43">SUMIFS(K9:K44,$C$9:$C$44,$D$77,$E$9:$E$44,$E$81)</f>
        <v>0</v>
      </c>
      <c r="L81" s="251">
        <f t="shared" si="43"/>
        <v>0</v>
      </c>
      <c r="M81" s="251">
        <f t="shared" si="43"/>
        <v>0</v>
      </c>
      <c r="N81" s="251">
        <f t="shared" si="43"/>
        <v>0</v>
      </c>
      <c r="O81" s="251">
        <f t="shared" si="43"/>
        <v>0</v>
      </c>
      <c r="P81" s="251">
        <f t="shared" si="43"/>
        <v>0</v>
      </c>
      <c r="Q81" s="251">
        <f t="shared" si="43"/>
        <v>0</v>
      </c>
      <c r="R81" s="251">
        <f t="shared" si="43"/>
        <v>0</v>
      </c>
      <c r="S81" s="250">
        <f t="shared" si="43"/>
        <v>0</v>
      </c>
      <c r="T81" s="250">
        <f t="shared" si="43"/>
        <v>0</v>
      </c>
      <c r="U81" s="250">
        <f t="shared" si="43"/>
        <v>0</v>
      </c>
      <c r="V81" s="250">
        <f t="shared" si="43"/>
        <v>0</v>
      </c>
      <c r="W81" s="250">
        <f t="shared" si="43"/>
        <v>0</v>
      </c>
      <c r="X81" s="250">
        <f t="shared" si="43"/>
        <v>0</v>
      </c>
      <c r="Y81" s="250">
        <f t="shared" si="43"/>
        <v>0</v>
      </c>
      <c r="Z81" s="250">
        <f t="shared" si="43"/>
        <v>0</v>
      </c>
      <c r="AA81" s="250">
        <f t="shared" si="43"/>
        <v>0</v>
      </c>
      <c r="AB81" s="250">
        <f t="shared" si="43"/>
        <v>0</v>
      </c>
      <c r="AC81" s="250">
        <f t="shared" si="43"/>
        <v>0</v>
      </c>
      <c r="AD81" s="252"/>
    </row>
    <row r="82" spans="1:30" x14ac:dyDescent="0.25">
      <c r="A82" s="248" t="s">
        <v>439</v>
      </c>
      <c r="B82" s="249"/>
      <c r="C82" s="249"/>
      <c r="D82" s="249"/>
      <c r="E82" s="250" t="s">
        <v>381</v>
      </c>
      <c r="F82" s="250">
        <f t="shared" si="40"/>
        <v>0</v>
      </c>
      <c r="G82" s="250"/>
      <c r="H82" s="250"/>
      <c r="I82" s="250"/>
      <c r="J82" s="250"/>
      <c r="K82" s="251">
        <f t="shared" ref="K82:AC82" si="44">SUMIFS(K9:K44,$C$9:$C$44,$D$77,$E$9:$E$44,$E$82)</f>
        <v>0</v>
      </c>
      <c r="L82" s="251">
        <f t="shared" si="44"/>
        <v>0</v>
      </c>
      <c r="M82" s="251">
        <f t="shared" si="44"/>
        <v>0</v>
      </c>
      <c r="N82" s="251">
        <f t="shared" si="44"/>
        <v>0</v>
      </c>
      <c r="O82" s="251">
        <f t="shared" si="44"/>
        <v>0</v>
      </c>
      <c r="P82" s="251">
        <f t="shared" si="44"/>
        <v>0</v>
      </c>
      <c r="Q82" s="251">
        <f t="shared" si="44"/>
        <v>0</v>
      </c>
      <c r="R82" s="251">
        <f t="shared" si="44"/>
        <v>0</v>
      </c>
      <c r="S82" s="250">
        <f t="shared" si="44"/>
        <v>0</v>
      </c>
      <c r="T82" s="250">
        <f t="shared" si="44"/>
        <v>0</v>
      </c>
      <c r="U82" s="250">
        <f t="shared" si="44"/>
        <v>0</v>
      </c>
      <c r="V82" s="250">
        <f t="shared" si="44"/>
        <v>0</v>
      </c>
      <c r="W82" s="250">
        <f t="shared" si="44"/>
        <v>0</v>
      </c>
      <c r="X82" s="250">
        <f t="shared" si="44"/>
        <v>0</v>
      </c>
      <c r="Y82" s="250">
        <f t="shared" si="44"/>
        <v>0</v>
      </c>
      <c r="Z82" s="250">
        <f t="shared" si="44"/>
        <v>0</v>
      </c>
      <c r="AA82" s="250">
        <f t="shared" si="44"/>
        <v>0</v>
      </c>
      <c r="AB82" s="250">
        <f t="shared" si="44"/>
        <v>0</v>
      </c>
      <c r="AC82" s="250">
        <f t="shared" si="44"/>
        <v>0</v>
      </c>
      <c r="AD82" s="252"/>
    </row>
    <row r="83" spans="1:30" x14ac:dyDescent="0.25">
      <c r="A83" s="248" t="s">
        <v>439</v>
      </c>
      <c r="B83" s="249"/>
      <c r="C83" s="249"/>
      <c r="D83" s="249"/>
      <c r="E83" s="250" t="s">
        <v>377</v>
      </c>
      <c r="F83" s="250">
        <f t="shared" si="40"/>
        <v>0</v>
      </c>
      <c r="G83" s="250"/>
      <c r="H83" s="250"/>
      <c r="I83" s="250"/>
      <c r="J83" s="250"/>
      <c r="K83" s="251">
        <f t="shared" ref="K83:AC83" si="45">SUMIFS(K9:K44,$C$9:$C$44,$D$77,$E$9:$E$44,$E$83)</f>
        <v>0</v>
      </c>
      <c r="L83" s="251">
        <f t="shared" si="45"/>
        <v>0</v>
      </c>
      <c r="M83" s="251">
        <f t="shared" si="45"/>
        <v>0</v>
      </c>
      <c r="N83" s="251">
        <f t="shared" si="45"/>
        <v>0</v>
      </c>
      <c r="O83" s="251">
        <f t="shared" si="45"/>
        <v>0</v>
      </c>
      <c r="P83" s="251">
        <f t="shared" si="45"/>
        <v>0</v>
      </c>
      <c r="Q83" s="251">
        <f t="shared" si="45"/>
        <v>0</v>
      </c>
      <c r="R83" s="251">
        <f t="shared" si="45"/>
        <v>0</v>
      </c>
      <c r="S83" s="250">
        <f t="shared" si="45"/>
        <v>0</v>
      </c>
      <c r="T83" s="250">
        <f t="shared" si="45"/>
        <v>0</v>
      </c>
      <c r="U83" s="250">
        <f t="shared" si="45"/>
        <v>0</v>
      </c>
      <c r="V83" s="250">
        <f t="shared" si="45"/>
        <v>0</v>
      </c>
      <c r="W83" s="250">
        <f t="shared" si="45"/>
        <v>0</v>
      </c>
      <c r="X83" s="250">
        <f t="shared" si="45"/>
        <v>0</v>
      </c>
      <c r="Y83" s="250">
        <f t="shared" si="45"/>
        <v>0</v>
      </c>
      <c r="Z83" s="250">
        <f t="shared" si="45"/>
        <v>0</v>
      </c>
      <c r="AA83" s="250">
        <f t="shared" si="45"/>
        <v>0</v>
      </c>
      <c r="AB83" s="250">
        <f t="shared" si="45"/>
        <v>0</v>
      </c>
      <c r="AC83" s="250">
        <f t="shared" si="45"/>
        <v>0</v>
      </c>
      <c r="AD83" s="252"/>
    </row>
    <row r="84" spans="1:30" x14ac:dyDescent="0.25">
      <c r="A84" s="248" t="s">
        <v>439</v>
      </c>
      <c r="B84" s="249"/>
      <c r="C84" s="249"/>
      <c r="D84" s="249"/>
      <c r="E84" s="250" t="s">
        <v>47</v>
      </c>
      <c r="F84" s="250">
        <f t="shared" si="40"/>
        <v>0</v>
      </c>
      <c r="G84" s="250"/>
      <c r="H84" s="250"/>
      <c r="I84" s="250"/>
      <c r="J84" s="250"/>
      <c r="K84" s="251">
        <f t="shared" ref="K84:AC84" si="46">SUMIFS(K9:K44,$C$9:$C$44,$D$77,$E$9:$E$44,$E$84)</f>
        <v>0</v>
      </c>
      <c r="L84" s="251">
        <f t="shared" si="46"/>
        <v>0</v>
      </c>
      <c r="M84" s="251">
        <f t="shared" si="46"/>
        <v>0</v>
      </c>
      <c r="N84" s="251">
        <f t="shared" si="46"/>
        <v>0</v>
      </c>
      <c r="O84" s="251">
        <f t="shared" si="46"/>
        <v>0</v>
      </c>
      <c r="P84" s="251">
        <f t="shared" si="46"/>
        <v>0</v>
      </c>
      <c r="Q84" s="251">
        <f t="shared" si="46"/>
        <v>0</v>
      </c>
      <c r="R84" s="251">
        <f t="shared" si="46"/>
        <v>0</v>
      </c>
      <c r="S84" s="250">
        <f t="shared" si="46"/>
        <v>0</v>
      </c>
      <c r="T84" s="250">
        <f t="shared" si="46"/>
        <v>0</v>
      </c>
      <c r="U84" s="250">
        <f t="shared" si="46"/>
        <v>0</v>
      </c>
      <c r="V84" s="250">
        <f t="shared" si="46"/>
        <v>0</v>
      </c>
      <c r="W84" s="250">
        <f t="shared" si="46"/>
        <v>0</v>
      </c>
      <c r="X84" s="250">
        <f t="shared" si="46"/>
        <v>0</v>
      </c>
      <c r="Y84" s="250">
        <f t="shared" si="46"/>
        <v>0</v>
      </c>
      <c r="Z84" s="250">
        <f t="shared" si="46"/>
        <v>0</v>
      </c>
      <c r="AA84" s="250">
        <f t="shared" si="46"/>
        <v>0</v>
      </c>
      <c r="AB84" s="250">
        <f t="shared" si="46"/>
        <v>0</v>
      </c>
      <c r="AC84" s="250">
        <f t="shared" si="46"/>
        <v>0</v>
      </c>
      <c r="AD84" s="252"/>
    </row>
    <row r="85" spans="1:30" ht="28.5" customHeight="1" x14ac:dyDescent="0.25">
      <c r="A85" s="248" t="s">
        <v>439</v>
      </c>
      <c r="B85" s="249"/>
      <c r="C85" s="249"/>
      <c r="D85" s="249"/>
      <c r="E85" s="253" t="s">
        <v>378</v>
      </c>
      <c r="F85" s="250">
        <f t="shared" si="40"/>
        <v>0</v>
      </c>
      <c r="G85" s="250"/>
      <c r="H85" s="250"/>
      <c r="I85" s="250"/>
      <c r="J85" s="250"/>
      <c r="K85" s="251">
        <f t="shared" ref="K85:AC85" si="47">SUMIFS(K9:K44,$C$9:$C$44,$D$77,$E$9:$E$44,$E$85)</f>
        <v>0</v>
      </c>
      <c r="L85" s="251">
        <f t="shared" si="47"/>
        <v>0</v>
      </c>
      <c r="M85" s="251">
        <f t="shared" si="47"/>
        <v>0</v>
      </c>
      <c r="N85" s="251">
        <f t="shared" si="47"/>
        <v>0</v>
      </c>
      <c r="O85" s="251">
        <f t="shared" si="47"/>
        <v>0</v>
      </c>
      <c r="P85" s="251">
        <f t="shared" si="47"/>
        <v>0</v>
      </c>
      <c r="Q85" s="251">
        <f t="shared" si="47"/>
        <v>0</v>
      </c>
      <c r="R85" s="251">
        <f t="shared" si="47"/>
        <v>0</v>
      </c>
      <c r="S85" s="250">
        <f t="shared" si="47"/>
        <v>0</v>
      </c>
      <c r="T85" s="250">
        <f t="shared" si="47"/>
        <v>0</v>
      </c>
      <c r="U85" s="250">
        <f t="shared" si="47"/>
        <v>0</v>
      </c>
      <c r="V85" s="250">
        <f t="shared" si="47"/>
        <v>0</v>
      </c>
      <c r="W85" s="250">
        <f t="shared" si="47"/>
        <v>0</v>
      </c>
      <c r="X85" s="250">
        <f t="shared" si="47"/>
        <v>0</v>
      </c>
      <c r="Y85" s="250">
        <f t="shared" si="47"/>
        <v>0</v>
      </c>
      <c r="Z85" s="250">
        <f t="shared" si="47"/>
        <v>0</v>
      </c>
      <c r="AA85" s="250">
        <f t="shared" si="47"/>
        <v>0</v>
      </c>
      <c r="AB85" s="250">
        <f t="shared" si="47"/>
        <v>0</v>
      </c>
      <c r="AC85" s="250">
        <f t="shared" si="47"/>
        <v>0</v>
      </c>
      <c r="AD85" s="252"/>
    </row>
    <row r="86" spans="1:30" ht="15.75" thickBot="1" x14ac:dyDescent="0.3">
      <c r="A86" s="254" t="s">
        <v>439</v>
      </c>
      <c r="B86" s="255"/>
      <c r="C86" s="255"/>
      <c r="D86" s="255"/>
      <c r="E86" s="256" t="s">
        <v>379</v>
      </c>
      <c r="F86" s="257">
        <f t="shared" si="40"/>
        <v>0</v>
      </c>
      <c r="G86" s="257"/>
      <c r="H86" s="257"/>
      <c r="I86" s="257"/>
      <c r="J86" s="257"/>
      <c r="K86" s="258">
        <f t="shared" ref="K86:AC86" si="48">SUMIFS(K9:K44,$C$9:$C$44,$D$77,$E$9:$E$44,$E$86)</f>
        <v>0</v>
      </c>
      <c r="L86" s="258">
        <f t="shared" si="48"/>
        <v>0</v>
      </c>
      <c r="M86" s="258">
        <f t="shared" si="48"/>
        <v>0</v>
      </c>
      <c r="N86" s="258">
        <f t="shared" si="48"/>
        <v>0</v>
      </c>
      <c r="O86" s="258">
        <f t="shared" si="48"/>
        <v>0</v>
      </c>
      <c r="P86" s="258">
        <f t="shared" si="48"/>
        <v>0</v>
      </c>
      <c r="Q86" s="258">
        <f t="shared" si="48"/>
        <v>0</v>
      </c>
      <c r="R86" s="258">
        <f t="shared" si="48"/>
        <v>0</v>
      </c>
      <c r="S86" s="257">
        <f t="shared" si="48"/>
        <v>0</v>
      </c>
      <c r="T86" s="257">
        <f t="shared" si="48"/>
        <v>0</v>
      </c>
      <c r="U86" s="257">
        <f t="shared" si="48"/>
        <v>0</v>
      </c>
      <c r="V86" s="257">
        <f t="shared" si="48"/>
        <v>0</v>
      </c>
      <c r="W86" s="257">
        <f t="shared" si="48"/>
        <v>0</v>
      </c>
      <c r="X86" s="257">
        <f t="shared" si="48"/>
        <v>0</v>
      </c>
      <c r="Y86" s="257">
        <f t="shared" si="48"/>
        <v>0</v>
      </c>
      <c r="Z86" s="257">
        <f t="shared" si="48"/>
        <v>0</v>
      </c>
      <c r="AA86" s="257">
        <f t="shared" si="48"/>
        <v>0</v>
      </c>
      <c r="AB86" s="257">
        <f t="shared" si="48"/>
        <v>0</v>
      </c>
      <c r="AC86" s="257">
        <f t="shared" si="48"/>
        <v>0</v>
      </c>
      <c r="AD86" s="259"/>
    </row>
    <row r="87" spans="1:30" ht="15.75" thickBot="1" x14ac:dyDescent="0.3">
      <c r="A87" s="260" t="s">
        <v>440</v>
      </c>
      <c r="B87" s="261"/>
      <c r="C87" s="261"/>
      <c r="D87" s="261"/>
      <c r="E87" s="262"/>
      <c r="F87" s="263">
        <f>SUM(F79:F86)</f>
        <v>0</v>
      </c>
      <c r="G87" s="263"/>
      <c r="H87" s="263"/>
      <c r="I87" s="263"/>
      <c r="J87" s="263"/>
      <c r="K87" s="264">
        <f t="shared" ref="K87:AC87" si="49">SUM(K79:K86)</f>
        <v>0</v>
      </c>
      <c r="L87" s="264">
        <f t="shared" si="49"/>
        <v>0</v>
      </c>
      <c r="M87" s="264">
        <f t="shared" si="49"/>
        <v>0</v>
      </c>
      <c r="N87" s="264">
        <f t="shared" si="49"/>
        <v>0</v>
      </c>
      <c r="O87" s="264">
        <f t="shared" si="49"/>
        <v>0</v>
      </c>
      <c r="P87" s="264">
        <f t="shared" si="49"/>
        <v>0</v>
      </c>
      <c r="Q87" s="264">
        <f t="shared" si="49"/>
        <v>0</v>
      </c>
      <c r="R87" s="264">
        <f t="shared" si="49"/>
        <v>0</v>
      </c>
      <c r="S87" s="263">
        <f t="shared" si="49"/>
        <v>0</v>
      </c>
      <c r="T87" s="263">
        <f t="shared" si="49"/>
        <v>0</v>
      </c>
      <c r="U87" s="263">
        <f t="shared" si="49"/>
        <v>0</v>
      </c>
      <c r="V87" s="263">
        <f t="shared" si="49"/>
        <v>0</v>
      </c>
      <c r="W87" s="263">
        <f t="shared" si="49"/>
        <v>0</v>
      </c>
      <c r="X87" s="263">
        <f t="shared" si="49"/>
        <v>0</v>
      </c>
      <c r="Y87" s="263">
        <f t="shared" si="49"/>
        <v>0</v>
      </c>
      <c r="Z87" s="263">
        <f t="shared" si="49"/>
        <v>0</v>
      </c>
      <c r="AA87" s="263">
        <f t="shared" si="49"/>
        <v>0</v>
      </c>
      <c r="AB87" s="263">
        <f t="shared" si="49"/>
        <v>0</v>
      </c>
      <c r="AC87" s="263">
        <f t="shared" si="49"/>
        <v>0</v>
      </c>
      <c r="AD87" s="265"/>
    </row>
    <row r="91" spans="1:30" x14ac:dyDescent="0.25">
      <c r="C91" s="210">
        <v>2.25</v>
      </c>
      <c r="D91" s="210">
        <v>0.5</v>
      </c>
      <c r="E91" s="210">
        <f>0.9*2</f>
        <v>1.8</v>
      </c>
      <c r="F91" s="210">
        <v>0.2</v>
      </c>
      <c r="G91" s="210">
        <v>0.2</v>
      </c>
      <c r="H91" s="210">
        <f>E91</f>
        <v>1.8</v>
      </c>
      <c r="I91" s="210">
        <v>1</v>
      </c>
      <c r="J91" s="210">
        <f>SUM(C91:I91)</f>
        <v>7.75</v>
      </c>
    </row>
    <row r="101" spans="3:7" x14ac:dyDescent="0.25">
      <c r="D101" s="266"/>
      <c r="E101" s="266"/>
      <c r="F101" s="266"/>
      <c r="G101" s="266"/>
    </row>
    <row r="102" spans="3:7" x14ac:dyDescent="0.25">
      <c r="C102" s="235"/>
      <c r="D102" s="267"/>
      <c r="E102" s="267"/>
      <c r="F102" s="266"/>
      <c r="G102" s="267"/>
    </row>
    <row r="103" spans="3:7" x14ac:dyDescent="0.25">
      <c r="C103" s="235"/>
      <c r="D103" s="235"/>
      <c r="E103" s="227"/>
      <c r="F103" s="227"/>
      <c r="G103" s="227"/>
    </row>
    <row r="104" spans="3:7" x14ac:dyDescent="0.25">
      <c r="C104" s="235"/>
      <c r="D104" s="235"/>
      <c r="E104" s="227"/>
      <c r="F104" s="227"/>
      <c r="G104" s="227"/>
    </row>
    <row r="105" spans="3:7" x14ac:dyDescent="0.25">
      <c r="C105" s="235"/>
      <c r="D105" s="235"/>
      <c r="E105" s="227"/>
      <c r="F105" s="227"/>
      <c r="G105" s="227"/>
    </row>
    <row r="106" spans="3:7" x14ac:dyDescent="0.25">
      <c r="C106" s="235"/>
      <c r="D106" s="235"/>
      <c r="E106" s="227"/>
      <c r="F106" s="227"/>
      <c r="G106" s="227"/>
    </row>
    <row r="107" spans="3:7" x14ac:dyDescent="0.25">
      <c r="C107" s="235"/>
      <c r="D107" s="235"/>
      <c r="E107" s="227"/>
      <c r="F107" s="227"/>
      <c r="G107" s="227"/>
    </row>
    <row r="108" spans="3:7" x14ac:dyDescent="0.25">
      <c r="C108" s="235"/>
      <c r="D108" s="235"/>
      <c r="E108" s="227"/>
      <c r="F108" s="227"/>
      <c r="G108" s="227"/>
    </row>
    <row r="109" spans="3:7" x14ac:dyDescent="0.25">
      <c r="C109" s="235"/>
      <c r="D109" s="235"/>
      <c r="E109" s="227"/>
    </row>
    <row r="110" spans="3:7" x14ac:dyDescent="0.25">
      <c r="C110" s="235"/>
      <c r="E110" s="227"/>
    </row>
    <row r="111" spans="3:7" x14ac:dyDescent="0.25">
      <c r="C111" s="235"/>
      <c r="E111" s="227"/>
    </row>
  </sheetData>
  <mergeCells count="48">
    <mergeCell ref="A85:D85"/>
    <mergeCell ref="A86:D86"/>
    <mergeCell ref="A87:D87"/>
    <mergeCell ref="A79:D79"/>
    <mergeCell ref="A80:D80"/>
    <mergeCell ref="A81:D81"/>
    <mergeCell ref="A82:D82"/>
    <mergeCell ref="A83:D83"/>
    <mergeCell ref="A84:D84"/>
    <mergeCell ref="A48:D48"/>
    <mergeCell ref="A49:D49"/>
    <mergeCell ref="A50:D50"/>
    <mergeCell ref="A51:D51"/>
    <mergeCell ref="Y4:Y6"/>
    <mergeCell ref="K5:L5"/>
    <mergeCell ref="M5:M6"/>
    <mergeCell ref="A45:D45"/>
    <mergeCell ref="A46:D46"/>
    <mergeCell ref="A47:D47"/>
    <mergeCell ref="S4:T5"/>
    <mergeCell ref="U4:V5"/>
    <mergeCell ref="W4:W6"/>
    <mergeCell ref="X4:X6"/>
    <mergeCell ref="A3:A7"/>
    <mergeCell ref="B3:H3"/>
    <mergeCell ref="AD3:AD7"/>
    <mergeCell ref="B4:B7"/>
    <mergeCell ref="C4:C7"/>
    <mergeCell ref="D4:D7"/>
    <mergeCell ref="E4:E7"/>
    <mergeCell ref="F4:F6"/>
    <mergeCell ref="G4:G6"/>
    <mergeCell ref="H4:H7"/>
    <mergeCell ref="I4:I6"/>
    <mergeCell ref="J4:J6"/>
    <mergeCell ref="S3:W3"/>
    <mergeCell ref="X3:Y3"/>
    <mergeCell ref="Z3:Z6"/>
    <mergeCell ref="AA3:AA6"/>
    <mergeCell ref="AB3:AB6"/>
    <mergeCell ref="AC3:AC6"/>
    <mergeCell ref="I3:J3"/>
    <mergeCell ref="K3:O3"/>
    <mergeCell ref="P3:Q5"/>
    <mergeCell ref="R3:R6"/>
    <mergeCell ref="K4:M4"/>
    <mergeCell ref="N4:N6"/>
    <mergeCell ref="O4:O6"/>
  </mergeCells>
  <phoneticPr fontId="17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F2C36-DAB7-4FC1-939A-39B6FE5427FE}">
  <dimension ref="A1:AP119"/>
  <sheetViews>
    <sheetView topLeftCell="A13" zoomScale="70" zoomScaleNormal="70" workbookViewId="0">
      <selection activeCell="A70" sqref="A70:J78"/>
    </sheetView>
  </sheetViews>
  <sheetFormatPr defaultRowHeight="15" x14ac:dyDescent="0.25"/>
  <cols>
    <col min="1" max="1" width="3.7109375" style="210" customWidth="1"/>
    <col min="2" max="3" width="7.5703125" style="210" customWidth="1"/>
    <col min="4" max="4" width="7.42578125" style="210" customWidth="1"/>
    <col min="5" max="5" width="7" style="210" customWidth="1"/>
    <col min="6" max="6" width="9.140625" style="210"/>
    <col min="7" max="7" width="9.42578125" style="210" customWidth="1"/>
    <col min="8" max="8" width="9.140625" style="210"/>
    <col min="9" max="9" width="8.140625" style="210" customWidth="1"/>
    <col min="10" max="10" width="10.85546875" style="210" customWidth="1"/>
    <col min="11" max="11" width="9.42578125" style="210" customWidth="1"/>
    <col min="12" max="12" width="10" style="210" customWidth="1"/>
    <col min="13" max="13" width="7" style="210" customWidth="1"/>
    <col min="14" max="14" width="4" style="210" customWidth="1"/>
    <col min="15" max="15" width="3" style="210" customWidth="1"/>
    <col min="16" max="16" width="3.140625" style="210" customWidth="1"/>
    <col min="17" max="17" width="7" style="210" customWidth="1"/>
    <col min="18" max="18" width="10.42578125" style="210" customWidth="1"/>
    <col min="19" max="19" width="9" style="210" customWidth="1"/>
    <col min="20" max="20" width="7.85546875" style="210" customWidth="1"/>
    <col min="21" max="21" width="6.85546875" style="210" customWidth="1"/>
    <col min="22" max="22" width="9.140625" style="210"/>
    <col min="23" max="23" width="11.5703125" style="210" customWidth="1"/>
    <col min="24" max="26" width="9.140625" style="210"/>
    <col min="27" max="27" width="15.5703125" style="210" customWidth="1"/>
    <col min="28" max="16384" width="9.140625" style="210"/>
  </cols>
  <sheetData>
    <row r="1" spans="1:33" ht="15.75" x14ac:dyDescent="0.25">
      <c r="A1" s="268" t="s">
        <v>548</v>
      </c>
    </row>
    <row r="2" spans="1:33" ht="15.75" thickBot="1" x14ac:dyDescent="0.3">
      <c r="A2" s="269" t="s">
        <v>549</v>
      </c>
      <c r="B2" s="269"/>
      <c r="C2" s="269"/>
      <c r="D2" s="269"/>
      <c r="E2" s="269"/>
      <c r="F2" s="269"/>
      <c r="G2" s="269"/>
      <c r="H2" s="270"/>
      <c r="I2" s="270"/>
      <c r="J2" s="270"/>
    </row>
    <row r="3" spans="1:33" ht="15" customHeight="1" thickBot="1" x14ac:dyDescent="0.3">
      <c r="A3" s="271" t="s">
        <v>0</v>
      </c>
      <c r="B3" s="271" t="s">
        <v>1</v>
      </c>
      <c r="C3" s="271" t="s">
        <v>2</v>
      </c>
      <c r="D3" s="272" t="s">
        <v>3</v>
      </c>
      <c r="E3" s="273"/>
      <c r="F3" s="274" t="s">
        <v>4</v>
      </c>
      <c r="G3" s="275"/>
      <c r="H3" s="276" t="s">
        <v>5</v>
      </c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8"/>
      <c r="W3" s="279" t="s">
        <v>6</v>
      </c>
      <c r="X3" s="280"/>
      <c r="Y3" s="280"/>
      <c r="Z3" s="280"/>
      <c r="AA3" s="281" t="s">
        <v>7</v>
      </c>
      <c r="AB3" s="282"/>
    </row>
    <row r="4" spans="1:33" ht="18.75" customHeight="1" thickBot="1" x14ac:dyDescent="0.3">
      <c r="A4" s="283"/>
      <c r="B4" s="283"/>
      <c r="C4" s="283"/>
      <c r="D4" s="281" t="s">
        <v>8</v>
      </c>
      <c r="E4" s="284" t="s">
        <v>9</v>
      </c>
      <c r="F4" s="285"/>
      <c r="G4" s="286"/>
      <c r="H4" s="284" t="s">
        <v>10</v>
      </c>
      <c r="I4" s="284" t="s">
        <v>11</v>
      </c>
      <c r="J4" s="284" t="s">
        <v>12</v>
      </c>
      <c r="K4" s="284" t="s">
        <v>13</v>
      </c>
      <c r="L4" s="284" t="s">
        <v>14</v>
      </c>
      <c r="M4" s="271" t="s">
        <v>15</v>
      </c>
      <c r="N4" s="287" t="s">
        <v>16</v>
      </c>
      <c r="O4" s="288"/>
      <c r="P4" s="288"/>
      <c r="Q4" s="289"/>
      <c r="R4" s="271" t="s">
        <v>17</v>
      </c>
      <c r="S4" s="290" t="s">
        <v>18</v>
      </c>
      <c r="T4" s="271" t="s">
        <v>19</v>
      </c>
      <c r="U4" s="284" t="s">
        <v>20</v>
      </c>
      <c r="V4" s="284" t="s">
        <v>21</v>
      </c>
      <c r="W4" s="291" t="s">
        <v>16</v>
      </c>
      <c r="X4" s="291" t="s">
        <v>15</v>
      </c>
      <c r="Y4" s="290" t="s">
        <v>22</v>
      </c>
      <c r="Z4" s="284" t="s">
        <v>23</v>
      </c>
      <c r="AA4" s="292"/>
    </row>
    <row r="5" spans="1:33" ht="42.75" customHeight="1" thickBot="1" x14ac:dyDescent="0.3">
      <c r="A5" s="283"/>
      <c r="B5" s="283"/>
      <c r="C5" s="283"/>
      <c r="D5" s="292"/>
      <c r="E5" s="293"/>
      <c r="F5" s="294" t="s">
        <v>24</v>
      </c>
      <c r="G5" s="295" t="s">
        <v>25</v>
      </c>
      <c r="H5" s="293"/>
      <c r="I5" s="293"/>
      <c r="J5" s="293"/>
      <c r="K5" s="293"/>
      <c r="L5" s="293"/>
      <c r="M5" s="296"/>
      <c r="N5" s="297"/>
      <c r="O5" s="298"/>
      <c r="P5" s="298"/>
      <c r="Q5" s="299"/>
      <c r="R5" s="296"/>
      <c r="S5" s="300"/>
      <c r="T5" s="296"/>
      <c r="U5" s="293"/>
      <c r="V5" s="293"/>
      <c r="W5" s="301"/>
      <c r="X5" s="301"/>
      <c r="Y5" s="300"/>
      <c r="Z5" s="293"/>
      <c r="AA5" s="292"/>
    </row>
    <row r="6" spans="1:33" ht="17.25" customHeight="1" thickBot="1" x14ac:dyDescent="0.3">
      <c r="A6" s="283"/>
      <c r="B6" s="283"/>
      <c r="C6" s="283"/>
      <c r="D6" s="292"/>
      <c r="E6" s="302" t="s">
        <v>26</v>
      </c>
      <c r="F6" s="302" t="s">
        <v>27</v>
      </c>
      <c r="G6" s="302" t="s">
        <v>28</v>
      </c>
      <c r="H6" s="302" t="s">
        <v>29</v>
      </c>
      <c r="I6" s="302" t="s">
        <v>29</v>
      </c>
      <c r="J6" s="302" t="s">
        <v>30</v>
      </c>
      <c r="K6" s="302" t="s">
        <v>29</v>
      </c>
      <c r="L6" s="302" t="s">
        <v>29</v>
      </c>
      <c r="M6" s="302" t="s">
        <v>29</v>
      </c>
      <c r="N6" s="297"/>
      <c r="O6" s="298"/>
      <c r="P6" s="298"/>
      <c r="Q6" s="299"/>
      <c r="R6" s="302" t="s">
        <v>31</v>
      </c>
      <c r="S6" s="302" t="s">
        <v>31</v>
      </c>
      <c r="T6" s="302"/>
      <c r="U6" s="282" t="s">
        <v>32</v>
      </c>
      <c r="V6" s="302" t="s">
        <v>29</v>
      </c>
      <c r="W6" s="302" t="s">
        <v>33</v>
      </c>
      <c r="X6" s="302" t="s">
        <v>29</v>
      </c>
      <c r="Y6" s="302" t="s">
        <v>31</v>
      </c>
      <c r="Z6" s="302" t="s">
        <v>31</v>
      </c>
      <c r="AA6" s="292"/>
    </row>
    <row r="7" spans="1:33" ht="15.75" thickBot="1" x14ac:dyDescent="0.3">
      <c r="A7" s="303" t="s">
        <v>34</v>
      </c>
      <c r="B7" s="304" t="s">
        <v>35</v>
      </c>
      <c r="C7" s="304" t="s">
        <v>36</v>
      </c>
      <c r="D7" s="304" t="s">
        <v>37</v>
      </c>
      <c r="E7" s="305" t="s">
        <v>38</v>
      </c>
      <c r="F7" s="306" t="s">
        <v>39</v>
      </c>
      <c r="G7" s="304" t="s">
        <v>40</v>
      </c>
      <c r="H7" s="304" t="s">
        <v>41</v>
      </c>
      <c r="I7" s="304" t="s">
        <v>42</v>
      </c>
      <c r="J7" s="304" t="s">
        <v>43</v>
      </c>
      <c r="K7" s="304" t="s">
        <v>44</v>
      </c>
      <c r="L7" s="305" t="s">
        <v>45</v>
      </c>
      <c r="M7" s="305" t="s">
        <v>46</v>
      </c>
      <c r="N7" s="307" t="s">
        <v>47</v>
      </c>
      <c r="O7" s="307"/>
      <c r="P7" s="307"/>
      <c r="Q7" s="307"/>
      <c r="R7" s="304" t="s">
        <v>48</v>
      </c>
      <c r="S7" s="304" t="s">
        <v>49</v>
      </c>
      <c r="T7" s="304" t="s">
        <v>50</v>
      </c>
      <c r="U7" s="304" t="s">
        <v>51</v>
      </c>
      <c r="V7" s="304" t="s">
        <v>52</v>
      </c>
      <c r="W7" s="304" t="s">
        <v>53</v>
      </c>
      <c r="X7" s="304" t="s">
        <v>54</v>
      </c>
      <c r="Y7" s="304" t="s">
        <v>55</v>
      </c>
      <c r="Z7" s="305" t="s">
        <v>56</v>
      </c>
      <c r="AA7" s="308" t="s">
        <v>57</v>
      </c>
      <c r="AB7" s="309"/>
      <c r="AC7" s="309"/>
      <c r="AD7" s="309"/>
      <c r="AE7" s="309"/>
      <c r="AF7" s="309"/>
      <c r="AG7" s="309"/>
    </row>
    <row r="8" spans="1:33" x14ac:dyDescent="0.25">
      <c r="A8" s="310">
        <v>1</v>
      </c>
      <c r="B8" s="311" t="s">
        <v>93</v>
      </c>
      <c r="C8" s="311" t="s">
        <v>60</v>
      </c>
      <c r="D8" s="311">
        <v>201</v>
      </c>
      <c r="E8" s="311">
        <v>0.1</v>
      </c>
      <c r="F8" s="311">
        <v>250</v>
      </c>
      <c r="G8" s="312">
        <v>25</v>
      </c>
      <c r="H8" s="311">
        <v>181</v>
      </c>
      <c r="I8" s="311">
        <v>4.5</v>
      </c>
      <c r="J8" s="311">
        <v>31.62</v>
      </c>
      <c r="K8" s="313">
        <v>29.46</v>
      </c>
      <c r="L8" s="314">
        <f t="shared" ref="L8:L13" si="0">J8-K8</f>
        <v>2.16</v>
      </c>
      <c r="M8" s="315">
        <v>12</v>
      </c>
      <c r="N8" s="310">
        <v>40</v>
      </c>
      <c r="O8" s="311" t="s">
        <v>49</v>
      </c>
      <c r="P8" s="311">
        <f>M8</f>
        <v>12</v>
      </c>
      <c r="Q8" s="316" t="s">
        <v>59</v>
      </c>
      <c r="R8" s="317"/>
      <c r="S8" s="311"/>
      <c r="T8" s="311"/>
      <c r="U8" s="311">
        <v>2</v>
      </c>
      <c r="V8" s="311"/>
      <c r="W8" s="311" t="s">
        <v>99</v>
      </c>
      <c r="X8" s="311">
        <v>10</v>
      </c>
      <c r="Y8" s="311">
        <v>2</v>
      </c>
      <c r="Z8" s="316">
        <f>M8*1.5</f>
        <v>18</v>
      </c>
      <c r="AA8" s="318"/>
      <c r="AB8" s="266"/>
      <c r="AC8" s="319"/>
    </row>
    <row r="9" spans="1:33" x14ac:dyDescent="0.25">
      <c r="A9" s="320">
        <f>A8+1</f>
        <v>2</v>
      </c>
      <c r="B9" s="250" t="s">
        <v>94</v>
      </c>
      <c r="C9" s="250" t="s">
        <v>60</v>
      </c>
      <c r="D9" s="250">
        <v>201</v>
      </c>
      <c r="E9" s="250">
        <v>0.2</v>
      </c>
      <c r="F9" s="250">
        <v>250</v>
      </c>
      <c r="G9" s="250">
        <v>50</v>
      </c>
      <c r="H9" s="250">
        <v>0</v>
      </c>
      <c r="I9" s="250">
        <v>4.5</v>
      </c>
      <c r="J9" s="250">
        <v>31.49</v>
      </c>
      <c r="K9" s="321">
        <v>29.3</v>
      </c>
      <c r="L9" s="314">
        <f t="shared" si="0"/>
        <v>2.1899999999999977</v>
      </c>
      <c r="M9" s="322">
        <v>13</v>
      </c>
      <c r="N9" s="320">
        <v>40</v>
      </c>
      <c r="O9" s="250" t="s">
        <v>49</v>
      </c>
      <c r="P9" s="311">
        <f t="shared" ref="P9:P21" si="1">M9</f>
        <v>13</v>
      </c>
      <c r="Q9" s="252" t="s">
        <v>59</v>
      </c>
      <c r="R9" s="323"/>
      <c r="S9" s="311"/>
      <c r="T9" s="250"/>
      <c r="U9" s="250">
        <v>2</v>
      </c>
      <c r="V9" s="250"/>
      <c r="W9" s="311" t="s">
        <v>99</v>
      </c>
      <c r="X9" s="250">
        <v>10</v>
      </c>
      <c r="Y9" s="250">
        <v>2</v>
      </c>
      <c r="Z9" s="316">
        <f t="shared" ref="Z9:Z21" si="2">M9*1.5</f>
        <v>19.5</v>
      </c>
      <c r="AA9" s="324"/>
      <c r="AB9" s="266"/>
      <c r="AC9" s="319"/>
    </row>
    <row r="10" spans="1:33" x14ac:dyDescent="0.25">
      <c r="A10" s="320">
        <f t="shared" ref="A10:A21" si="3">A9+1</f>
        <v>3</v>
      </c>
      <c r="B10" s="250" t="s">
        <v>95</v>
      </c>
      <c r="C10" s="250" t="s">
        <v>60</v>
      </c>
      <c r="D10" s="325">
        <v>205</v>
      </c>
      <c r="E10" s="250">
        <v>0.6</v>
      </c>
      <c r="F10" s="250">
        <v>250</v>
      </c>
      <c r="G10" s="250">
        <v>150</v>
      </c>
      <c r="H10" s="250">
        <v>366</v>
      </c>
      <c r="I10" s="250">
        <v>9.5</v>
      </c>
      <c r="J10" s="250">
        <v>30.09</v>
      </c>
      <c r="K10" s="250">
        <v>28.29</v>
      </c>
      <c r="L10" s="314">
        <f t="shared" si="0"/>
        <v>1.8000000000000007</v>
      </c>
      <c r="M10" s="322">
        <v>16</v>
      </c>
      <c r="N10" s="320">
        <v>50</v>
      </c>
      <c r="O10" s="250" t="s">
        <v>49</v>
      </c>
      <c r="P10" s="311">
        <f>M10</f>
        <v>16</v>
      </c>
      <c r="Q10" s="252" t="s">
        <v>59</v>
      </c>
      <c r="R10" s="323"/>
      <c r="S10" s="311"/>
      <c r="T10" s="250"/>
      <c r="U10" s="250">
        <v>2</v>
      </c>
      <c r="V10" s="250"/>
      <c r="W10" s="250" t="s">
        <v>101</v>
      </c>
      <c r="X10" s="250">
        <v>12</v>
      </c>
      <c r="Y10" s="250"/>
      <c r="Z10" s="316">
        <f t="shared" si="2"/>
        <v>24</v>
      </c>
      <c r="AA10" s="324"/>
      <c r="AB10" s="266"/>
    </row>
    <row r="11" spans="1:33" x14ac:dyDescent="0.25">
      <c r="A11" s="320">
        <f t="shared" si="3"/>
        <v>4</v>
      </c>
      <c r="B11" s="250" t="s">
        <v>105</v>
      </c>
      <c r="C11" s="250" t="s">
        <v>61</v>
      </c>
      <c r="D11" s="250">
        <v>105</v>
      </c>
      <c r="E11" s="250">
        <v>1.2</v>
      </c>
      <c r="F11" s="250">
        <v>250</v>
      </c>
      <c r="G11" s="250">
        <v>300</v>
      </c>
      <c r="H11" s="250">
        <v>560</v>
      </c>
      <c r="I11" s="250">
        <v>4.9000000000000004</v>
      </c>
      <c r="J11" s="250">
        <v>23.09</v>
      </c>
      <c r="K11" s="250">
        <v>21.29</v>
      </c>
      <c r="L11" s="314">
        <f t="shared" si="0"/>
        <v>1.8000000000000007</v>
      </c>
      <c r="M11" s="326">
        <v>12</v>
      </c>
      <c r="N11" s="320">
        <v>60</v>
      </c>
      <c r="O11" s="250" t="s">
        <v>49</v>
      </c>
      <c r="P11" s="311">
        <v>12</v>
      </c>
      <c r="Q11" s="252" t="s">
        <v>59</v>
      </c>
      <c r="R11" s="323"/>
      <c r="S11" s="311"/>
      <c r="T11" s="250"/>
      <c r="U11" s="250">
        <v>2</v>
      </c>
      <c r="V11" s="250"/>
      <c r="W11" s="250" t="s">
        <v>107</v>
      </c>
      <c r="X11" s="250">
        <v>7</v>
      </c>
      <c r="Y11" s="250"/>
      <c r="Z11" s="316">
        <f t="shared" si="2"/>
        <v>18</v>
      </c>
      <c r="AA11" s="324"/>
      <c r="AB11" s="266"/>
    </row>
    <row r="12" spans="1:33" x14ac:dyDescent="0.25">
      <c r="A12" s="320">
        <f t="shared" si="3"/>
        <v>5</v>
      </c>
      <c r="B12" s="250" t="s">
        <v>100</v>
      </c>
      <c r="C12" s="250" t="s">
        <v>61</v>
      </c>
      <c r="D12" s="250">
        <v>109</v>
      </c>
      <c r="E12" s="250">
        <v>1</v>
      </c>
      <c r="F12" s="250">
        <v>250</v>
      </c>
      <c r="G12" s="250">
        <v>250</v>
      </c>
      <c r="H12" s="250">
        <v>670</v>
      </c>
      <c r="I12" s="250">
        <v>5.8</v>
      </c>
      <c r="J12" s="250">
        <v>24.73</v>
      </c>
      <c r="K12" s="321">
        <v>23.05</v>
      </c>
      <c r="L12" s="250">
        <f t="shared" si="0"/>
        <v>1.6799999999999997</v>
      </c>
      <c r="M12" s="322">
        <v>12</v>
      </c>
      <c r="N12" s="320">
        <v>60</v>
      </c>
      <c r="O12" s="250" t="s">
        <v>49</v>
      </c>
      <c r="P12" s="311">
        <f t="shared" si="1"/>
        <v>12</v>
      </c>
      <c r="Q12" s="252" t="s">
        <v>59</v>
      </c>
      <c r="R12" s="323"/>
      <c r="S12" s="311"/>
      <c r="T12" s="250"/>
      <c r="U12" s="250">
        <v>2</v>
      </c>
      <c r="V12" s="250"/>
      <c r="W12" s="250" t="s">
        <v>106</v>
      </c>
      <c r="X12" s="250">
        <v>9</v>
      </c>
      <c r="Y12" s="250">
        <v>2.7</v>
      </c>
      <c r="Z12" s="316">
        <f t="shared" si="2"/>
        <v>18</v>
      </c>
      <c r="AA12" s="324"/>
      <c r="AB12" s="266"/>
    </row>
    <row r="13" spans="1:33" x14ac:dyDescent="0.25">
      <c r="A13" s="320">
        <f t="shared" si="3"/>
        <v>6</v>
      </c>
      <c r="B13" s="250" t="s">
        <v>108</v>
      </c>
      <c r="C13" s="250" t="s">
        <v>61</v>
      </c>
      <c r="D13" s="250">
        <v>303</v>
      </c>
      <c r="E13" s="250">
        <v>0.5</v>
      </c>
      <c r="F13" s="250">
        <v>250</v>
      </c>
      <c r="G13" s="250">
        <v>125</v>
      </c>
      <c r="H13" s="250">
        <v>281</v>
      </c>
      <c r="I13" s="250">
        <v>4.5</v>
      </c>
      <c r="J13" s="250">
        <v>26.25</v>
      </c>
      <c r="K13" s="250">
        <v>24.89</v>
      </c>
      <c r="L13" s="250">
        <f t="shared" si="0"/>
        <v>1.3599999999999994</v>
      </c>
      <c r="M13" s="322">
        <v>10</v>
      </c>
      <c r="N13" s="320">
        <v>50</v>
      </c>
      <c r="O13" s="250" t="s">
        <v>49</v>
      </c>
      <c r="P13" s="311">
        <f t="shared" si="1"/>
        <v>10</v>
      </c>
      <c r="Q13" s="252" t="s">
        <v>59</v>
      </c>
      <c r="R13" s="323"/>
      <c r="S13" s="311"/>
      <c r="T13" s="250"/>
      <c r="U13" s="250"/>
      <c r="V13" s="250"/>
      <c r="W13" s="250" t="s">
        <v>109</v>
      </c>
      <c r="X13" s="250">
        <v>6</v>
      </c>
      <c r="Y13" s="250"/>
      <c r="Z13" s="316">
        <f t="shared" si="2"/>
        <v>15</v>
      </c>
      <c r="AA13" s="324"/>
      <c r="AB13" s="266"/>
    </row>
    <row r="14" spans="1:33" x14ac:dyDescent="0.25">
      <c r="A14" s="320">
        <f t="shared" si="3"/>
        <v>7</v>
      </c>
      <c r="B14" s="257" t="s">
        <v>112</v>
      </c>
      <c r="C14" s="250" t="s">
        <v>61</v>
      </c>
      <c r="D14" s="257">
        <v>304</v>
      </c>
      <c r="E14" s="257">
        <v>0.1</v>
      </c>
      <c r="F14" s="311">
        <v>250</v>
      </c>
      <c r="G14" s="312">
        <v>25</v>
      </c>
      <c r="H14" s="257">
        <v>0</v>
      </c>
      <c r="I14" s="250">
        <v>4.9000000000000004</v>
      </c>
      <c r="J14" s="257">
        <v>27.67</v>
      </c>
      <c r="K14" s="327">
        <v>26.21</v>
      </c>
      <c r="L14" s="257">
        <f>J14-K14</f>
        <v>1.4600000000000009</v>
      </c>
      <c r="M14" s="328">
        <v>11</v>
      </c>
      <c r="N14" s="329">
        <v>40</v>
      </c>
      <c r="O14" s="257" t="s">
        <v>49</v>
      </c>
      <c r="P14" s="311">
        <f t="shared" si="1"/>
        <v>11</v>
      </c>
      <c r="Q14" s="259" t="s">
        <v>59</v>
      </c>
      <c r="R14" s="330"/>
      <c r="S14" s="311"/>
      <c r="T14" s="257"/>
      <c r="U14" s="257"/>
      <c r="V14" s="257"/>
      <c r="W14" s="250" t="s">
        <v>109</v>
      </c>
      <c r="X14" s="250">
        <v>6</v>
      </c>
      <c r="Y14" s="257"/>
      <c r="Z14" s="316">
        <f t="shared" si="2"/>
        <v>16.5</v>
      </c>
      <c r="AA14" s="331"/>
      <c r="AB14" s="266"/>
    </row>
    <row r="15" spans="1:33" x14ac:dyDescent="0.25">
      <c r="A15" s="320">
        <f t="shared" si="3"/>
        <v>8</v>
      </c>
      <c r="B15" s="257" t="s">
        <v>113</v>
      </c>
      <c r="C15" s="250" t="s">
        <v>61</v>
      </c>
      <c r="D15" s="257" t="s">
        <v>114</v>
      </c>
      <c r="E15" s="257">
        <v>3.9</v>
      </c>
      <c r="F15" s="257">
        <v>250</v>
      </c>
      <c r="G15" s="257">
        <f>+E15*F15</f>
        <v>975</v>
      </c>
      <c r="H15" s="257">
        <v>923</v>
      </c>
      <c r="I15" s="257">
        <v>6.5</v>
      </c>
      <c r="J15" s="257">
        <v>30.74</v>
      </c>
      <c r="K15" s="257">
        <v>28.78</v>
      </c>
      <c r="L15" s="257">
        <f>J15-K15</f>
        <v>1.9599999999999973</v>
      </c>
      <c r="M15" s="328">
        <v>14</v>
      </c>
      <c r="N15" s="329">
        <v>100</v>
      </c>
      <c r="O15" s="257" t="s">
        <v>49</v>
      </c>
      <c r="P15" s="311">
        <f t="shared" si="1"/>
        <v>14</v>
      </c>
      <c r="Q15" s="259" t="s">
        <v>115</v>
      </c>
      <c r="R15" s="330"/>
      <c r="S15" s="311"/>
      <c r="T15" s="257"/>
      <c r="U15" s="257">
        <v>2</v>
      </c>
      <c r="V15" s="257"/>
      <c r="W15" s="250" t="s">
        <v>118</v>
      </c>
      <c r="X15" s="250">
        <v>12</v>
      </c>
      <c r="Y15" s="257">
        <v>2.7</v>
      </c>
      <c r="Z15" s="316">
        <f t="shared" si="2"/>
        <v>21</v>
      </c>
      <c r="AA15" s="331"/>
      <c r="AB15" s="266"/>
    </row>
    <row r="16" spans="1:33" x14ac:dyDescent="0.25">
      <c r="A16" s="320">
        <f t="shared" si="3"/>
        <v>9</v>
      </c>
      <c r="B16" s="257" t="s">
        <v>116</v>
      </c>
      <c r="C16" s="250" t="s">
        <v>61</v>
      </c>
      <c r="D16" s="257">
        <v>306</v>
      </c>
      <c r="E16" s="257">
        <v>0.1</v>
      </c>
      <c r="F16" s="257">
        <v>250</v>
      </c>
      <c r="G16" s="257">
        <v>25</v>
      </c>
      <c r="H16" s="257">
        <v>825</v>
      </c>
      <c r="I16" s="250">
        <v>4.9000000000000004</v>
      </c>
      <c r="J16" s="257">
        <v>30.63</v>
      </c>
      <c r="K16" s="257">
        <v>29.73</v>
      </c>
      <c r="L16" s="327">
        <f t="shared" ref="L16:L21" si="4">J16-K16</f>
        <v>0.89999999999999858</v>
      </c>
      <c r="M16" s="328">
        <v>8</v>
      </c>
      <c r="N16" s="329">
        <v>40</v>
      </c>
      <c r="O16" s="257" t="s">
        <v>49</v>
      </c>
      <c r="P16" s="311">
        <f t="shared" si="1"/>
        <v>8</v>
      </c>
      <c r="Q16" s="259" t="s">
        <v>59</v>
      </c>
      <c r="R16" s="330"/>
      <c r="S16" s="257"/>
      <c r="T16" s="257"/>
      <c r="U16" s="257"/>
      <c r="V16" s="257"/>
      <c r="W16" s="250" t="s">
        <v>117</v>
      </c>
      <c r="X16" s="250">
        <v>5</v>
      </c>
      <c r="Y16" s="257"/>
      <c r="Z16" s="316">
        <f t="shared" si="2"/>
        <v>12</v>
      </c>
      <c r="AA16" s="331"/>
      <c r="AB16" s="266"/>
    </row>
    <row r="17" spans="1:28" x14ac:dyDescent="0.25">
      <c r="A17" s="320">
        <f t="shared" si="3"/>
        <v>10</v>
      </c>
      <c r="B17" s="257" t="s">
        <v>120</v>
      </c>
      <c r="C17" s="257" t="s">
        <v>61</v>
      </c>
      <c r="D17" s="257">
        <v>306</v>
      </c>
      <c r="E17" s="257">
        <v>0.1</v>
      </c>
      <c r="F17" s="257">
        <v>250</v>
      </c>
      <c r="G17" s="257">
        <v>25</v>
      </c>
      <c r="H17" s="257">
        <v>8</v>
      </c>
      <c r="I17" s="250">
        <v>4.9000000000000004</v>
      </c>
      <c r="J17" s="257">
        <v>30.17</v>
      </c>
      <c r="K17" s="257">
        <v>28.79</v>
      </c>
      <c r="L17" s="327">
        <f>J17-K17</f>
        <v>1.3800000000000026</v>
      </c>
      <c r="M17" s="328">
        <v>10</v>
      </c>
      <c r="N17" s="329">
        <v>40</v>
      </c>
      <c r="O17" s="257" t="s">
        <v>49</v>
      </c>
      <c r="P17" s="311">
        <f t="shared" si="1"/>
        <v>10</v>
      </c>
      <c r="Q17" s="259" t="s">
        <v>59</v>
      </c>
      <c r="R17" s="330"/>
      <c r="S17" s="257"/>
      <c r="T17" s="257"/>
      <c r="U17" s="257"/>
      <c r="V17" s="257"/>
      <c r="W17" s="250" t="s">
        <v>109</v>
      </c>
      <c r="X17" s="250">
        <v>6</v>
      </c>
      <c r="Y17" s="257"/>
      <c r="Z17" s="316">
        <f t="shared" si="2"/>
        <v>15</v>
      </c>
      <c r="AA17" s="331"/>
      <c r="AB17" s="266"/>
    </row>
    <row r="18" spans="1:28" x14ac:dyDescent="0.25">
      <c r="A18" s="320">
        <f t="shared" si="3"/>
        <v>11</v>
      </c>
      <c r="B18" s="257" t="s">
        <v>121</v>
      </c>
      <c r="C18" s="257" t="s">
        <v>61</v>
      </c>
      <c r="D18" s="257">
        <v>310</v>
      </c>
      <c r="E18" s="257">
        <v>1.2</v>
      </c>
      <c r="F18" s="257">
        <v>250</v>
      </c>
      <c r="G18" s="257">
        <v>300</v>
      </c>
      <c r="H18" s="257">
        <v>0</v>
      </c>
      <c r="I18" s="257">
        <v>6.2</v>
      </c>
      <c r="J18" s="257">
        <v>29.84</v>
      </c>
      <c r="K18" s="257">
        <v>28.34</v>
      </c>
      <c r="L18" s="327">
        <f t="shared" si="4"/>
        <v>1.5</v>
      </c>
      <c r="M18" s="328">
        <v>12</v>
      </c>
      <c r="N18" s="329">
        <v>60</v>
      </c>
      <c r="O18" s="257" t="s">
        <v>49</v>
      </c>
      <c r="P18" s="311">
        <f t="shared" si="1"/>
        <v>12</v>
      </c>
      <c r="Q18" s="259" t="s">
        <v>59</v>
      </c>
      <c r="R18" s="330"/>
      <c r="S18" s="257"/>
      <c r="T18" s="257"/>
      <c r="U18" s="257">
        <v>2</v>
      </c>
      <c r="V18" s="257"/>
      <c r="W18" s="250" t="s">
        <v>122</v>
      </c>
      <c r="X18" s="250">
        <v>8</v>
      </c>
      <c r="Y18" s="257"/>
      <c r="Z18" s="316">
        <f t="shared" si="2"/>
        <v>18</v>
      </c>
      <c r="AA18" s="331"/>
      <c r="AB18" s="266"/>
    </row>
    <row r="19" spans="1:28" x14ac:dyDescent="0.25">
      <c r="A19" s="320">
        <f t="shared" si="3"/>
        <v>12</v>
      </c>
      <c r="B19" s="257" t="s">
        <v>123</v>
      </c>
      <c r="C19" s="257" t="s">
        <v>61</v>
      </c>
      <c r="D19" s="257">
        <v>310</v>
      </c>
      <c r="E19" s="257">
        <v>0.6</v>
      </c>
      <c r="F19" s="257">
        <v>250</v>
      </c>
      <c r="G19" s="257">
        <v>150</v>
      </c>
      <c r="H19" s="257">
        <v>230</v>
      </c>
      <c r="I19" s="250">
        <v>4.9000000000000004</v>
      </c>
      <c r="J19" s="257">
        <v>30.13</v>
      </c>
      <c r="K19" s="257">
        <v>28.5</v>
      </c>
      <c r="L19" s="327">
        <f t="shared" si="4"/>
        <v>1.629999999999999</v>
      </c>
      <c r="M19" s="328">
        <v>11</v>
      </c>
      <c r="N19" s="329">
        <v>50</v>
      </c>
      <c r="O19" s="257" t="s">
        <v>49</v>
      </c>
      <c r="P19" s="311">
        <f t="shared" si="1"/>
        <v>11</v>
      </c>
      <c r="Q19" s="259" t="s">
        <v>59</v>
      </c>
      <c r="R19" s="330"/>
      <c r="S19" s="257"/>
      <c r="T19" s="257"/>
      <c r="U19" s="257"/>
      <c r="V19" s="257"/>
      <c r="W19" s="250" t="s">
        <v>109</v>
      </c>
      <c r="X19" s="250">
        <v>6</v>
      </c>
      <c r="Y19" s="257"/>
      <c r="Z19" s="316">
        <f t="shared" si="2"/>
        <v>16.5</v>
      </c>
      <c r="AA19" s="331"/>
      <c r="AB19" s="266"/>
    </row>
    <row r="20" spans="1:28" x14ac:dyDescent="0.25">
      <c r="A20" s="320">
        <f t="shared" si="3"/>
        <v>13</v>
      </c>
      <c r="B20" s="257" t="s">
        <v>124</v>
      </c>
      <c r="C20" s="257" t="s">
        <v>61</v>
      </c>
      <c r="D20" s="257">
        <v>310</v>
      </c>
      <c r="E20" s="257">
        <v>0.2</v>
      </c>
      <c r="F20" s="257">
        <v>250</v>
      </c>
      <c r="G20" s="257">
        <v>50</v>
      </c>
      <c r="H20" s="257">
        <v>850</v>
      </c>
      <c r="I20" s="257">
        <v>4.5</v>
      </c>
      <c r="J20" s="250">
        <v>30.31</v>
      </c>
      <c r="K20" s="250">
        <v>29.04</v>
      </c>
      <c r="L20" s="327">
        <f t="shared" si="4"/>
        <v>1.2699999999999996</v>
      </c>
      <c r="M20" s="328">
        <v>10</v>
      </c>
      <c r="N20" s="329">
        <v>40</v>
      </c>
      <c r="O20" s="257" t="s">
        <v>49</v>
      </c>
      <c r="P20" s="311">
        <f t="shared" si="1"/>
        <v>10</v>
      </c>
      <c r="Q20" s="259" t="s">
        <v>59</v>
      </c>
      <c r="R20" s="330"/>
      <c r="S20" s="257"/>
      <c r="T20" s="257"/>
      <c r="U20" s="257"/>
      <c r="V20" s="257"/>
      <c r="W20" s="250" t="s">
        <v>107</v>
      </c>
      <c r="X20" s="250">
        <v>7</v>
      </c>
      <c r="Y20" s="257"/>
      <c r="Z20" s="316">
        <f t="shared" si="2"/>
        <v>15</v>
      </c>
      <c r="AA20" s="331"/>
      <c r="AB20" s="266"/>
    </row>
    <row r="21" spans="1:28" ht="15.75" thickBot="1" x14ac:dyDescent="0.3">
      <c r="A21" s="320">
        <f t="shared" si="3"/>
        <v>14</v>
      </c>
      <c r="B21" s="257" t="s">
        <v>133</v>
      </c>
      <c r="C21" s="257" t="s">
        <v>134</v>
      </c>
      <c r="D21" s="257"/>
      <c r="E21" s="257">
        <v>0.2</v>
      </c>
      <c r="F21" s="257">
        <v>250</v>
      </c>
      <c r="G21" s="257">
        <v>50</v>
      </c>
      <c r="H21" s="257"/>
      <c r="I21" s="257">
        <v>6</v>
      </c>
      <c r="J21" s="327">
        <v>36.200000000000003</v>
      </c>
      <c r="K21" s="257">
        <v>35.14</v>
      </c>
      <c r="L21" s="327">
        <f t="shared" si="4"/>
        <v>1.0600000000000023</v>
      </c>
      <c r="M21" s="328">
        <v>11</v>
      </c>
      <c r="N21" s="329">
        <v>40</v>
      </c>
      <c r="O21" s="257" t="s">
        <v>49</v>
      </c>
      <c r="P21" s="311">
        <f t="shared" si="1"/>
        <v>11</v>
      </c>
      <c r="Q21" s="259" t="s">
        <v>59</v>
      </c>
      <c r="R21" s="330"/>
      <c r="S21" s="257"/>
      <c r="T21" s="257"/>
      <c r="U21" s="257">
        <v>2</v>
      </c>
      <c r="V21" s="257"/>
      <c r="W21" s="250" t="s">
        <v>107</v>
      </c>
      <c r="X21" s="250">
        <v>7</v>
      </c>
      <c r="Y21" s="257"/>
      <c r="Z21" s="316">
        <f t="shared" si="2"/>
        <v>16.5</v>
      </c>
      <c r="AA21" s="331"/>
      <c r="AB21" s="266"/>
    </row>
    <row r="22" spans="1:28" ht="15" customHeight="1" thickBot="1" x14ac:dyDescent="0.3">
      <c r="A22" s="332" t="s">
        <v>62</v>
      </c>
      <c r="B22" s="333"/>
      <c r="C22" s="334"/>
      <c r="D22" s="334"/>
      <c r="E22" s="334"/>
      <c r="F22" s="334"/>
      <c r="G22" s="334"/>
      <c r="H22" s="334"/>
      <c r="I22" s="334"/>
      <c r="J22" s="334"/>
      <c r="K22" s="334"/>
      <c r="L22" s="335"/>
      <c r="M22" s="336">
        <f>SUM(M8:M21)</f>
        <v>162</v>
      </c>
      <c r="N22" s="337"/>
      <c r="O22" s="334"/>
      <c r="P22" s="334"/>
      <c r="Q22" s="335"/>
      <c r="R22" s="338">
        <f>SUM(R8:R13)</f>
        <v>0</v>
      </c>
      <c r="S22" s="338">
        <f>SUM(S8:S21)</f>
        <v>0</v>
      </c>
      <c r="T22" s="338">
        <f>SUM(T8:T13)</f>
        <v>0</v>
      </c>
      <c r="U22" s="336">
        <f>SUM(U8:U21)</f>
        <v>16</v>
      </c>
      <c r="V22" s="338"/>
      <c r="W22" s="338"/>
      <c r="X22" s="336">
        <f>SUM(X8:X21)</f>
        <v>111</v>
      </c>
      <c r="Y22" s="336">
        <f>SUM(Y8:Y21)</f>
        <v>9.4</v>
      </c>
      <c r="Z22" s="336">
        <f>SUM(Z8:Z21)</f>
        <v>243</v>
      </c>
      <c r="AA22" s="338"/>
      <c r="AB22" s="266"/>
    </row>
    <row r="23" spans="1:28" x14ac:dyDescent="0.25">
      <c r="A23" s="227"/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66"/>
    </row>
    <row r="24" spans="1:28" x14ac:dyDescent="0.25">
      <c r="A24" s="227"/>
      <c r="B24" s="227"/>
      <c r="C24" s="227"/>
      <c r="D24" s="227"/>
      <c r="E24" s="227"/>
      <c r="F24" s="227"/>
      <c r="G24" s="227"/>
      <c r="H24" s="227"/>
      <c r="I24" s="227"/>
      <c r="J24" s="339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27"/>
      <c r="Z24" s="227"/>
      <c r="AA24" s="227"/>
      <c r="AB24" s="266"/>
    </row>
    <row r="25" spans="1:28" x14ac:dyDescent="0.25">
      <c r="A25" s="269" t="s">
        <v>550</v>
      </c>
      <c r="B25" s="269"/>
      <c r="C25" s="269"/>
      <c r="D25" s="269"/>
      <c r="E25" s="269"/>
      <c r="F25" s="269"/>
      <c r="G25" s="269"/>
      <c r="H25" s="270"/>
      <c r="I25" s="270"/>
      <c r="J25" s="270"/>
      <c r="AB25" s="266"/>
    </row>
    <row r="26" spans="1:28" x14ac:dyDescent="0.25">
      <c r="A26" s="212" t="s">
        <v>0</v>
      </c>
      <c r="B26" s="212" t="s">
        <v>1</v>
      </c>
      <c r="C26" s="212" t="s">
        <v>2</v>
      </c>
      <c r="D26" s="223" t="s">
        <v>3</v>
      </c>
      <c r="E26" s="223"/>
      <c r="F26" s="212" t="s">
        <v>4</v>
      </c>
      <c r="G26" s="212"/>
      <c r="H26" s="212" t="s">
        <v>5</v>
      </c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23" t="s">
        <v>7</v>
      </c>
      <c r="AB26" s="266"/>
    </row>
    <row r="27" spans="1:28" x14ac:dyDescent="0.25">
      <c r="A27" s="212"/>
      <c r="B27" s="212"/>
      <c r="C27" s="212"/>
      <c r="D27" s="223" t="s">
        <v>8</v>
      </c>
      <c r="E27" s="212" t="s">
        <v>9</v>
      </c>
      <c r="F27" s="212"/>
      <c r="G27" s="212"/>
      <c r="H27" s="212" t="s">
        <v>10</v>
      </c>
      <c r="I27" s="212" t="s">
        <v>11</v>
      </c>
      <c r="J27" s="212" t="s">
        <v>12</v>
      </c>
      <c r="K27" s="212" t="s">
        <v>13</v>
      </c>
      <c r="L27" s="212" t="s">
        <v>14</v>
      </c>
      <c r="M27" s="212" t="s">
        <v>15</v>
      </c>
      <c r="N27" s="212" t="s">
        <v>16</v>
      </c>
      <c r="O27" s="212"/>
      <c r="P27" s="212"/>
      <c r="Q27" s="212"/>
      <c r="R27" s="212" t="s">
        <v>17</v>
      </c>
      <c r="S27" s="212" t="s">
        <v>18</v>
      </c>
      <c r="T27" s="212" t="s">
        <v>19</v>
      </c>
      <c r="U27" s="212" t="s">
        <v>20</v>
      </c>
      <c r="V27" s="212" t="s">
        <v>21</v>
      </c>
      <c r="W27" s="223"/>
      <c r="AB27" s="266"/>
    </row>
    <row r="28" spans="1:28" ht="45.75" customHeight="1" x14ac:dyDescent="0.25">
      <c r="A28" s="212"/>
      <c r="B28" s="212"/>
      <c r="C28" s="212"/>
      <c r="D28" s="223"/>
      <c r="E28" s="212"/>
      <c r="F28" s="214" t="s">
        <v>24</v>
      </c>
      <c r="G28" s="215" t="s">
        <v>25</v>
      </c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23"/>
      <c r="Z28" s="340"/>
      <c r="AB28" s="266"/>
    </row>
    <row r="29" spans="1:28" x14ac:dyDescent="0.25">
      <c r="A29" s="212"/>
      <c r="B29" s="212"/>
      <c r="C29" s="212"/>
      <c r="D29" s="223"/>
      <c r="E29" s="215" t="s">
        <v>26</v>
      </c>
      <c r="F29" s="215" t="s">
        <v>27</v>
      </c>
      <c r="G29" s="215" t="s">
        <v>28</v>
      </c>
      <c r="H29" s="215" t="s">
        <v>29</v>
      </c>
      <c r="I29" s="215" t="s">
        <v>29</v>
      </c>
      <c r="J29" s="215" t="s">
        <v>30</v>
      </c>
      <c r="K29" s="215" t="s">
        <v>29</v>
      </c>
      <c r="L29" s="215" t="s">
        <v>29</v>
      </c>
      <c r="M29" s="215" t="s">
        <v>29</v>
      </c>
      <c r="N29" s="212"/>
      <c r="O29" s="212"/>
      <c r="P29" s="212"/>
      <c r="Q29" s="212"/>
      <c r="R29" s="215" t="s">
        <v>31</v>
      </c>
      <c r="S29" s="215" t="s">
        <v>31</v>
      </c>
      <c r="T29" s="215" t="s">
        <v>31</v>
      </c>
      <c r="U29" s="215" t="s">
        <v>32</v>
      </c>
      <c r="V29" s="215" t="s">
        <v>29</v>
      </c>
      <c r="W29" s="223"/>
      <c r="Z29" s="266"/>
      <c r="AB29" s="266"/>
    </row>
    <row r="30" spans="1:28" x14ac:dyDescent="0.25">
      <c r="A30" s="216" t="s">
        <v>34</v>
      </c>
      <c r="B30" s="341" t="s">
        <v>35</v>
      </c>
      <c r="C30" s="341" t="s">
        <v>36</v>
      </c>
      <c r="D30" s="341" t="s">
        <v>37</v>
      </c>
      <c r="E30" s="341" t="s">
        <v>38</v>
      </c>
      <c r="F30" s="341" t="s">
        <v>39</v>
      </c>
      <c r="G30" s="341" t="s">
        <v>40</v>
      </c>
      <c r="H30" s="341" t="s">
        <v>41</v>
      </c>
      <c r="I30" s="341" t="s">
        <v>42</v>
      </c>
      <c r="J30" s="341" t="s">
        <v>43</v>
      </c>
      <c r="K30" s="341" t="s">
        <v>44</v>
      </c>
      <c r="L30" s="341" t="s">
        <v>45</v>
      </c>
      <c r="M30" s="341" t="s">
        <v>46</v>
      </c>
      <c r="N30" s="342" t="s">
        <v>47</v>
      </c>
      <c r="O30" s="342"/>
      <c r="P30" s="342"/>
      <c r="Q30" s="342"/>
      <c r="R30" s="341" t="s">
        <v>48</v>
      </c>
      <c r="S30" s="341" t="s">
        <v>49</v>
      </c>
      <c r="T30" s="341" t="s">
        <v>50</v>
      </c>
      <c r="U30" s="341" t="s">
        <v>51</v>
      </c>
      <c r="V30" s="341" t="s">
        <v>52</v>
      </c>
      <c r="W30" s="341" t="s">
        <v>57</v>
      </c>
      <c r="AB30" s="266"/>
    </row>
    <row r="31" spans="1:28" x14ac:dyDescent="0.25">
      <c r="A31" s="250">
        <v>1</v>
      </c>
      <c r="B31" s="250" t="s">
        <v>96</v>
      </c>
      <c r="C31" s="250" t="s">
        <v>60</v>
      </c>
      <c r="D31" s="250">
        <v>201</v>
      </c>
      <c r="E31" s="250">
        <v>0.2</v>
      </c>
      <c r="F31" s="250">
        <v>250</v>
      </c>
      <c r="G31" s="250">
        <v>50</v>
      </c>
      <c r="H31" s="250">
        <v>162</v>
      </c>
      <c r="I31" s="250">
        <v>4.5</v>
      </c>
      <c r="J31" s="250">
        <v>31.59</v>
      </c>
      <c r="K31" s="250">
        <v>29.38</v>
      </c>
      <c r="L31" s="321">
        <f>+J31-K31</f>
        <v>2.2100000000000009</v>
      </c>
      <c r="M31" s="250">
        <v>13</v>
      </c>
      <c r="N31" s="250">
        <v>40</v>
      </c>
      <c r="O31" s="250" t="s">
        <v>49</v>
      </c>
      <c r="P31" s="250">
        <f>M31</f>
        <v>13</v>
      </c>
      <c r="Q31" s="250" t="s">
        <v>59</v>
      </c>
      <c r="R31" s="250"/>
      <c r="S31" s="250"/>
      <c r="T31" s="250">
        <f>P31*1.5</f>
        <v>19.5</v>
      </c>
      <c r="U31" s="250"/>
      <c r="V31" s="250"/>
      <c r="W31" s="253"/>
      <c r="Y31" s="222"/>
      <c r="AB31" s="266"/>
    </row>
    <row r="32" spans="1:28" x14ac:dyDescent="0.25">
      <c r="A32" s="250">
        <f>A31+1</f>
        <v>2</v>
      </c>
      <c r="B32" s="250" t="s">
        <v>97</v>
      </c>
      <c r="C32" s="250" t="s">
        <v>60</v>
      </c>
      <c r="D32" s="250">
        <v>204</v>
      </c>
      <c r="E32" s="250">
        <v>0.3</v>
      </c>
      <c r="F32" s="250">
        <v>250</v>
      </c>
      <c r="G32" s="250">
        <v>75</v>
      </c>
      <c r="H32" s="250">
        <v>67</v>
      </c>
      <c r="I32" s="250">
        <v>4.5</v>
      </c>
      <c r="J32" s="250">
        <v>31.41</v>
      </c>
      <c r="K32" s="250">
        <v>28.3</v>
      </c>
      <c r="L32" s="321">
        <f>+J32-K32</f>
        <v>3.1099999999999994</v>
      </c>
      <c r="M32" s="250">
        <v>15</v>
      </c>
      <c r="N32" s="250">
        <v>50</v>
      </c>
      <c r="O32" s="250" t="s">
        <v>49</v>
      </c>
      <c r="P32" s="250">
        <f t="shared" ref="P32:P47" si="5">M32</f>
        <v>15</v>
      </c>
      <c r="Q32" s="250" t="s">
        <v>59</v>
      </c>
      <c r="R32" s="250"/>
      <c r="S32" s="250"/>
      <c r="T32" s="250">
        <f t="shared" ref="T32:T53" si="6">P32*1.5</f>
        <v>22.5</v>
      </c>
      <c r="U32" s="250"/>
      <c r="V32" s="250"/>
      <c r="W32" s="250"/>
      <c r="AB32" s="266"/>
    </row>
    <row r="33" spans="1:28" x14ac:dyDescent="0.25">
      <c r="A33" s="250">
        <f t="shared" ref="A33:A53" si="7">A32+1</f>
        <v>3</v>
      </c>
      <c r="B33" s="250" t="s">
        <v>98</v>
      </c>
      <c r="C33" s="250" t="s">
        <v>60</v>
      </c>
      <c r="D33" s="343"/>
      <c r="E33" s="250">
        <v>0.2</v>
      </c>
      <c r="F33" s="250">
        <v>250</v>
      </c>
      <c r="G33" s="250">
        <v>50</v>
      </c>
      <c r="H33" s="250">
        <v>10</v>
      </c>
      <c r="I33" s="250">
        <v>4.9000000000000004</v>
      </c>
      <c r="J33" s="321">
        <v>30</v>
      </c>
      <c r="K33" s="250">
        <v>28.4</v>
      </c>
      <c r="L33" s="321">
        <f>+J33-K33</f>
        <v>1.6000000000000014</v>
      </c>
      <c r="M33" s="250">
        <v>11</v>
      </c>
      <c r="N33" s="250">
        <v>40</v>
      </c>
      <c r="O33" s="250" t="s">
        <v>49</v>
      </c>
      <c r="P33" s="250">
        <f t="shared" si="5"/>
        <v>11</v>
      </c>
      <c r="Q33" s="250" t="s">
        <v>59</v>
      </c>
      <c r="R33" s="250"/>
      <c r="S33" s="250"/>
      <c r="T33" s="250">
        <f t="shared" si="6"/>
        <v>16.5</v>
      </c>
      <c r="U33" s="250"/>
      <c r="V33" s="250"/>
      <c r="W33" s="250"/>
      <c r="AB33" s="266"/>
    </row>
    <row r="34" spans="1:28" x14ac:dyDescent="0.25">
      <c r="A34" s="250">
        <f t="shared" si="7"/>
        <v>4</v>
      </c>
      <c r="B34" s="250" t="s">
        <v>102</v>
      </c>
      <c r="C34" s="250" t="s">
        <v>60</v>
      </c>
      <c r="D34" s="250">
        <v>205</v>
      </c>
      <c r="E34" s="250">
        <v>1</v>
      </c>
      <c r="F34" s="250">
        <v>250</v>
      </c>
      <c r="G34" s="250">
        <v>250</v>
      </c>
      <c r="H34" s="250">
        <v>8</v>
      </c>
      <c r="I34" s="250">
        <v>4.5</v>
      </c>
      <c r="J34" s="250"/>
      <c r="K34" s="250"/>
      <c r="L34" s="250">
        <v>1.5</v>
      </c>
      <c r="M34" s="250">
        <v>10</v>
      </c>
      <c r="N34" s="250">
        <v>60</v>
      </c>
      <c r="O34" s="250" t="s">
        <v>49</v>
      </c>
      <c r="P34" s="250">
        <f t="shared" si="5"/>
        <v>10</v>
      </c>
      <c r="Q34" s="250" t="s">
        <v>59</v>
      </c>
      <c r="R34" s="250"/>
      <c r="S34" s="250"/>
      <c r="T34" s="250">
        <f t="shared" si="6"/>
        <v>15</v>
      </c>
      <c r="U34" s="250"/>
      <c r="V34" s="250"/>
      <c r="W34" s="250"/>
      <c r="AB34" s="266"/>
    </row>
    <row r="35" spans="1:28" x14ac:dyDescent="0.25">
      <c r="A35" s="250">
        <f t="shared" si="7"/>
        <v>5</v>
      </c>
      <c r="B35" s="250" t="s">
        <v>573</v>
      </c>
      <c r="C35" s="250" t="s">
        <v>60</v>
      </c>
      <c r="D35" s="250">
        <v>208</v>
      </c>
      <c r="E35" s="250">
        <v>0.1</v>
      </c>
      <c r="F35" s="250">
        <v>250</v>
      </c>
      <c r="G35" s="250">
        <v>25</v>
      </c>
      <c r="H35" s="250">
        <v>14</v>
      </c>
      <c r="I35" s="250">
        <v>4.9000000000000004</v>
      </c>
      <c r="J35" s="250">
        <v>31.43</v>
      </c>
      <c r="K35" s="250">
        <v>30.02</v>
      </c>
      <c r="L35" s="321">
        <f>+J35-K35</f>
        <v>1.4100000000000001</v>
      </c>
      <c r="M35" s="250">
        <v>10</v>
      </c>
      <c r="N35" s="250">
        <v>40</v>
      </c>
      <c r="O35" s="250" t="s">
        <v>49</v>
      </c>
      <c r="P35" s="250">
        <f t="shared" si="5"/>
        <v>10</v>
      </c>
      <c r="Q35" s="250" t="s">
        <v>59</v>
      </c>
      <c r="R35" s="250"/>
      <c r="S35" s="250"/>
      <c r="T35" s="250">
        <f t="shared" si="6"/>
        <v>15</v>
      </c>
      <c r="U35" s="250"/>
      <c r="V35" s="250"/>
      <c r="W35" s="250"/>
      <c r="AB35" s="266"/>
    </row>
    <row r="36" spans="1:28" x14ac:dyDescent="0.25">
      <c r="A36" s="250">
        <f t="shared" si="7"/>
        <v>6</v>
      </c>
      <c r="B36" s="250" t="s">
        <v>574</v>
      </c>
      <c r="C36" s="250" t="s">
        <v>60</v>
      </c>
      <c r="D36" s="250">
        <v>208</v>
      </c>
      <c r="E36" s="250">
        <v>0.1</v>
      </c>
      <c r="F36" s="250">
        <v>250</v>
      </c>
      <c r="G36" s="250">
        <v>25</v>
      </c>
      <c r="H36" s="250">
        <v>201</v>
      </c>
      <c r="I36" s="250">
        <v>4.9000000000000004</v>
      </c>
      <c r="J36" s="250">
        <v>31.39</v>
      </c>
      <c r="K36" s="250">
        <v>30.19</v>
      </c>
      <c r="L36" s="250">
        <f>+J36-K36</f>
        <v>1.1999999999999993</v>
      </c>
      <c r="M36" s="250">
        <v>10</v>
      </c>
      <c r="N36" s="250">
        <v>40</v>
      </c>
      <c r="O36" s="250" t="s">
        <v>49</v>
      </c>
      <c r="P36" s="250">
        <f t="shared" ref="P36" si="8">M36</f>
        <v>10</v>
      </c>
      <c r="Q36" s="250" t="s">
        <v>59</v>
      </c>
      <c r="R36" s="250"/>
      <c r="S36" s="250"/>
      <c r="T36" s="250">
        <f t="shared" si="6"/>
        <v>15</v>
      </c>
      <c r="U36" s="250"/>
      <c r="V36" s="250"/>
      <c r="W36" s="250"/>
      <c r="AB36" s="266"/>
    </row>
    <row r="37" spans="1:28" x14ac:dyDescent="0.25">
      <c r="A37" s="250">
        <f t="shared" si="7"/>
        <v>7</v>
      </c>
      <c r="B37" s="250" t="s">
        <v>575</v>
      </c>
      <c r="C37" s="250" t="s">
        <v>60</v>
      </c>
      <c r="D37" s="250">
        <v>209</v>
      </c>
      <c r="E37" s="250">
        <v>0.1</v>
      </c>
      <c r="F37" s="250">
        <v>250</v>
      </c>
      <c r="G37" s="250">
        <v>25</v>
      </c>
      <c r="H37" s="250">
        <v>395</v>
      </c>
      <c r="I37" s="250">
        <v>4.9000000000000004</v>
      </c>
      <c r="J37" s="250">
        <v>31.48</v>
      </c>
      <c r="K37" s="250">
        <v>30.28</v>
      </c>
      <c r="L37" s="250">
        <f>+J37-K37</f>
        <v>1.1999999999999993</v>
      </c>
      <c r="M37" s="250">
        <v>10</v>
      </c>
      <c r="N37" s="250">
        <v>40</v>
      </c>
      <c r="O37" s="250" t="s">
        <v>49</v>
      </c>
      <c r="P37" s="250">
        <f t="shared" ref="P37" si="9">M37</f>
        <v>10</v>
      </c>
      <c r="Q37" s="250" t="s">
        <v>59</v>
      </c>
      <c r="R37" s="250"/>
      <c r="S37" s="250"/>
      <c r="T37" s="250">
        <f t="shared" si="6"/>
        <v>15</v>
      </c>
      <c r="U37" s="250"/>
      <c r="V37" s="250"/>
      <c r="W37" s="250"/>
      <c r="AB37" s="266"/>
    </row>
    <row r="38" spans="1:28" x14ac:dyDescent="0.25">
      <c r="A38" s="250">
        <f t="shared" si="7"/>
        <v>8</v>
      </c>
      <c r="B38" s="250" t="s">
        <v>576</v>
      </c>
      <c r="C38" s="250" t="s">
        <v>60</v>
      </c>
      <c r="D38" s="250">
        <v>209</v>
      </c>
      <c r="E38" s="250">
        <v>0.1</v>
      </c>
      <c r="F38" s="250">
        <v>250</v>
      </c>
      <c r="G38" s="250">
        <v>25</v>
      </c>
      <c r="H38" s="250">
        <v>5</v>
      </c>
      <c r="I38" s="250">
        <v>4.9000000000000004</v>
      </c>
      <c r="J38" s="250">
        <v>30.11</v>
      </c>
      <c r="K38" s="250">
        <v>29.09</v>
      </c>
      <c r="L38" s="250">
        <f>+J38-K38</f>
        <v>1.0199999999999996</v>
      </c>
      <c r="M38" s="250">
        <v>10</v>
      </c>
      <c r="N38" s="250">
        <v>40</v>
      </c>
      <c r="O38" s="250" t="s">
        <v>49</v>
      </c>
      <c r="P38" s="250">
        <f t="shared" ref="P38" si="10">M38</f>
        <v>10</v>
      </c>
      <c r="Q38" s="250" t="s">
        <v>59</v>
      </c>
      <c r="R38" s="250"/>
      <c r="S38" s="250"/>
      <c r="T38" s="250">
        <f t="shared" si="6"/>
        <v>15</v>
      </c>
      <c r="U38" s="250"/>
      <c r="V38" s="250"/>
      <c r="W38" s="250"/>
      <c r="AB38" s="266"/>
    </row>
    <row r="39" spans="1:28" x14ac:dyDescent="0.25">
      <c r="A39" s="250">
        <f t="shared" si="7"/>
        <v>9</v>
      </c>
      <c r="B39" s="250" t="s">
        <v>119</v>
      </c>
      <c r="C39" s="250" t="s">
        <v>61</v>
      </c>
      <c r="D39" s="250">
        <v>308</v>
      </c>
      <c r="E39" s="250">
        <v>0.2</v>
      </c>
      <c r="F39" s="250">
        <v>250</v>
      </c>
      <c r="G39" s="250">
        <v>50</v>
      </c>
      <c r="H39" s="250">
        <v>405</v>
      </c>
      <c r="I39" s="250">
        <v>4.5</v>
      </c>
      <c r="J39" s="250">
        <v>30.19</v>
      </c>
      <c r="K39" s="250">
        <v>28.77</v>
      </c>
      <c r="L39" s="321">
        <f t="shared" ref="L39:L53" si="11">J39-K39</f>
        <v>1.4200000000000017</v>
      </c>
      <c r="M39" s="250">
        <v>10</v>
      </c>
      <c r="N39" s="250">
        <v>40</v>
      </c>
      <c r="O39" s="250" t="s">
        <v>49</v>
      </c>
      <c r="P39" s="250">
        <f t="shared" si="5"/>
        <v>10</v>
      </c>
      <c r="Q39" s="250" t="s">
        <v>59</v>
      </c>
      <c r="R39" s="250"/>
      <c r="S39" s="250"/>
      <c r="T39" s="250">
        <f t="shared" si="6"/>
        <v>15</v>
      </c>
      <c r="U39" s="250"/>
      <c r="V39" s="250"/>
      <c r="W39" s="250"/>
      <c r="AB39" s="266"/>
    </row>
    <row r="40" spans="1:28" x14ac:dyDescent="0.25">
      <c r="A40" s="250">
        <f t="shared" si="7"/>
        <v>10</v>
      </c>
      <c r="B40" s="250" t="s">
        <v>125</v>
      </c>
      <c r="C40" s="250" t="s">
        <v>61</v>
      </c>
      <c r="D40" s="250">
        <v>307</v>
      </c>
      <c r="E40" s="250">
        <v>0.1</v>
      </c>
      <c r="F40" s="250">
        <v>250</v>
      </c>
      <c r="G40" s="250">
        <v>25</v>
      </c>
      <c r="H40" s="250">
        <v>250</v>
      </c>
      <c r="I40" s="250">
        <v>4.5</v>
      </c>
      <c r="J40" s="321">
        <v>30</v>
      </c>
      <c r="K40" s="250">
        <v>28.47</v>
      </c>
      <c r="L40" s="321">
        <f t="shared" si="11"/>
        <v>1.5300000000000011</v>
      </c>
      <c r="M40" s="250">
        <v>11</v>
      </c>
      <c r="N40" s="250">
        <v>40</v>
      </c>
      <c r="O40" s="250" t="s">
        <v>49</v>
      </c>
      <c r="P40" s="250">
        <f t="shared" si="5"/>
        <v>11</v>
      </c>
      <c r="Q40" s="250" t="s">
        <v>59</v>
      </c>
      <c r="R40" s="250"/>
      <c r="S40" s="250"/>
      <c r="T40" s="250">
        <f t="shared" si="6"/>
        <v>16.5</v>
      </c>
      <c r="U40" s="250"/>
      <c r="V40" s="250"/>
      <c r="W40" s="250"/>
      <c r="AB40" s="266"/>
    </row>
    <row r="41" spans="1:28" x14ac:dyDescent="0.25">
      <c r="A41" s="250">
        <f t="shared" si="7"/>
        <v>11</v>
      </c>
      <c r="B41" s="250" t="s">
        <v>126</v>
      </c>
      <c r="C41" s="250" t="s">
        <v>61</v>
      </c>
      <c r="D41" s="250">
        <v>308</v>
      </c>
      <c r="E41" s="250">
        <v>0.3</v>
      </c>
      <c r="F41" s="250">
        <v>250</v>
      </c>
      <c r="G41" s="250">
        <v>75</v>
      </c>
      <c r="H41" s="250">
        <v>230</v>
      </c>
      <c r="I41" s="250">
        <v>4.5</v>
      </c>
      <c r="J41" s="250">
        <v>29.98</v>
      </c>
      <c r="K41" s="250">
        <v>28.49</v>
      </c>
      <c r="L41" s="321">
        <f t="shared" si="11"/>
        <v>1.490000000000002</v>
      </c>
      <c r="M41" s="250">
        <v>11</v>
      </c>
      <c r="N41" s="250">
        <v>50</v>
      </c>
      <c r="O41" s="250" t="s">
        <v>49</v>
      </c>
      <c r="P41" s="250">
        <f t="shared" si="5"/>
        <v>11</v>
      </c>
      <c r="Q41" s="250" t="s">
        <v>59</v>
      </c>
      <c r="R41" s="250"/>
      <c r="S41" s="250"/>
      <c r="T41" s="250">
        <f t="shared" si="6"/>
        <v>16.5</v>
      </c>
      <c r="U41" s="250"/>
      <c r="V41" s="250"/>
      <c r="W41" s="250"/>
      <c r="AB41" s="266"/>
    </row>
    <row r="42" spans="1:28" x14ac:dyDescent="0.25">
      <c r="A42" s="250">
        <f t="shared" si="7"/>
        <v>12</v>
      </c>
      <c r="B42" s="250" t="s">
        <v>127</v>
      </c>
      <c r="C42" s="250" t="s">
        <v>61</v>
      </c>
      <c r="D42" s="250">
        <v>309</v>
      </c>
      <c r="E42" s="250">
        <v>0.9</v>
      </c>
      <c r="F42" s="250">
        <v>250</v>
      </c>
      <c r="G42" s="250">
        <v>225</v>
      </c>
      <c r="H42" s="250">
        <v>8</v>
      </c>
      <c r="I42" s="250">
        <v>4.9000000000000004</v>
      </c>
      <c r="J42" s="250">
        <v>29.83</v>
      </c>
      <c r="K42" s="250">
        <v>28.34</v>
      </c>
      <c r="L42" s="321">
        <f t="shared" si="11"/>
        <v>1.4899999999999984</v>
      </c>
      <c r="M42" s="250">
        <v>11</v>
      </c>
      <c r="N42" s="250">
        <v>60</v>
      </c>
      <c r="O42" s="250" t="s">
        <v>49</v>
      </c>
      <c r="P42" s="250">
        <f t="shared" si="5"/>
        <v>11</v>
      </c>
      <c r="Q42" s="250" t="s">
        <v>59</v>
      </c>
      <c r="R42" s="250"/>
      <c r="S42" s="250"/>
      <c r="T42" s="250">
        <f t="shared" si="6"/>
        <v>16.5</v>
      </c>
      <c r="U42" s="250"/>
      <c r="V42" s="250"/>
      <c r="W42" s="250"/>
      <c r="AB42" s="266"/>
    </row>
    <row r="43" spans="1:28" x14ac:dyDescent="0.25">
      <c r="A43" s="250">
        <f t="shared" si="7"/>
        <v>13</v>
      </c>
      <c r="B43" s="250" t="s">
        <v>128</v>
      </c>
      <c r="C43" s="250" t="s">
        <v>61</v>
      </c>
      <c r="D43" s="250">
        <v>309</v>
      </c>
      <c r="E43" s="250">
        <v>0.8</v>
      </c>
      <c r="F43" s="250">
        <v>250</v>
      </c>
      <c r="G43" s="250">
        <v>200</v>
      </c>
      <c r="H43" s="250">
        <v>165</v>
      </c>
      <c r="I43" s="250">
        <v>4.9000000000000004</v>
      </c>
      <c r="J43" s="250">
        <v>30.14</v>
      </c>
      <c r="K43" s="250">
        <v>28.45</v>
      </c>
      <c r="L43" s="321">
        <f t="shared" si="11"/>
        <v>1.6900000000000013</v>
      </c>
      <c r="M43" s="250">
        <v>11</v>
      </c>
      <c r="N43" s="250">
        <v>60</v>
      </c>
      <c r="O43" s="250" t="s">
        <v>49</v>
      </c>
      <c r="P43" s="250">
        <f t="shared" si="5"/>
        <v>11</v>
      </c>
      <c r="Q43" s="250" t="s">
        <v>59</v>
      </c>
      <c r="R43" s="250"/>
      <c r="S43" s="250"/>
      <c r="T43" s="250">
        <f t="shared" si="6"/>
        <v>16.5</v>
      </c>
      <c r="U43" s="250"/>
      <c r="V43" s="250"/>
      <c r="W43" s="250"/>
      <c r="AB43" s="266"/>
    </row>
    <row r="44" spans="1:28" x14ac:dyDescent="0.25">
      <c r="A44" s="250">
        <f t="shared" si="7"/>
        <v>14</v>
      </c>
      <c r="B44" s="250" t="s">
        <v>129</v>
      </c>
      <c r="C44" s="250" t="s">
        <v>61</v>
      </c>
      <c r="D44" s="250">
        <v>310</v>
      </c>
      <c r="E44" s="250">
        <v>0.4</v>
      </c>
      <c r="F44" s="250">
        <v>250</v>
      </c>
      <c r="G44" s="250">
        <v>100</v>
      </c>
      <c r="H44" s="250">
        <v>380</v>
      </c>
      <c r="I44" s="250">
        <v>4.9000000000000004</v>
      </c>
      <c r="J44" s="250">
        <v>30.04</v>
      </c>
      <c r="K44" s="250">
        <v>28.61</v>
      </c>
      <c r="L44" s="321">
        <f t="shared" si="11"/>
        <v>1.4299999999999997</v>
      </c>
      <c r="M44" s="250">
        <v>11</v>
      </c>
      <c r="N44" s="250">
        <v>50</v>
      </c>
      <c r="O44" s="250" t="s">
        <v>49</v>
      </c>
      <c r="P44" s="250">
        <f t="shared" si="5"/>
        <v>11</v>
      </c>
      <c r="Q44" s="250" t="s">
        <v>59</v>
      </c>
      <c r="R44" s="250"/>
      <c r="S44" s="250"/>
      <c r="T44" s="250">
        <f t="shared" si="6"/>
        <v>16.5</v>
      </c>
      <c r="U44" s="250"/>
      <c r="V44" s="250"/>
      <c r="W44" s="250"/>
      <c r="AB44" s="266"/>
    </row>
    <row r="45" spans="1:28" x14ac:dyDescent="0.25">
      <c r="A45" s="250">
        <f t="shared" si="7"/>
        <v>15</v>
      </c>
      <c r="B45" s="250" t="s">
        <v>130</v>
      </c>
      <c r="C45" s="250" t="s">
        <v>61</v>
      </c>
      <c r="D45" s="250">
        <v>309</v>
      </c>
      <c r="E45" s="250">
        <v>0.7</v>
      </c>
      <c r="F45" s="250">
        <v>250</v>
      </c>
      <c r="G45" s="250">
        <v>175</v>
      </c>
      <c r="H45" s="250">
        <v>520</v>
      </c>
      <c r="I45" s="250">
        <v>4.5</v>
      </c>
      <c r="J45" s="250">
        <v>30.18</v>
      </c>
      <c r="K45" s="250">
        <v>28.75</v>
      </c>
      <c r="L45" s="321">
        <f t="shared" si="11"/>
        <v>1.4299999999999997</v>
      </c>
      <c r="M45" s="250">
        <v>10</v>
      </c>
      <c r="N45" s="250">
        <v>50</v>
      </c>
      <c r="O45" s="250" t="s">
        <v>49</v>
      </c>
      <c r="P45" s="250">
        <f t="shared" si="5"/>
        <v>10</v>
      </c>
      <c r="Q45" s="250" t="s">
        <v>59</v>
      </c>
      <c r="R45" s="250"/>
      <c r="S45" s="250"/>
      <c r="T45" s="250">
        <f t="shared" si="6"/>
        <v>15</v>
      </c>
      <c r="U45" s="250"/>
      <c r="V45" s="250"/>
      <c r="W45" s="250"/>
      <c r="AB45" s="266"/>
    </row>
    <row r="46" spans="1:28" x14ac:dyDescent="0.25">
      <c r="A46" s="250">
        <f t="shared" si="7"/>
        <v>16</v>
      </c>
      <c r="B46" s="250" t="s">
        <v>131</v>
      </c>
      <c r="C46" s="250" t="s">
        <v>61</v>
      </c>
      <c r="D46" s="250">
        <v>310</v>
      </c>
      <c r="E46" s="250">
        <v>0.3</v>
      </c>
      <c r="F46" s="250">
        <v>250</v>
      </c>
      <c r="G46" s="250">
        <v>75</v>
      </c>
      <c r="H46" s="250">
        <v>756</v>
      </c>
      <c r="I46" s="250">
        <v>4.9000000000000004</v>
      </c>
      <c r="J46" s="250">
        <v>30.22</v>
      </c>
      <c r="K46" s="250">
        <v>28.96</v>
      </c>
      <c r="L46" s="321">
        <f t="shared" si="11"/>
        <v>1.259999999999998</v>
      </c>
      <c r="M46" s="250">
        <v>10</v>
      </c>
      <c r="N46" s="250">
        <v>50</v>
      </c>
      <c r="O46" s="250" t="s">
        <v>49</v>
      </c>
      <c r="P46" s="250">
        <f t="shared" si="5"/>
        <v>10</v>
      </c>
      <c r="Q46" s="250" t="s">
        <v>59</v>
      </c>
      <c r="R46" s="250"/>
      <c r="S46" s="250"/>
      <c r="T46" s="250">
        <f t="shared" si="6"/>
        <v>15</v>
      </c>
      <c r="U46" s="250"/>
      <c r="V46" s="250"/>
      <c r="W46" s="250"/>
      <c r="AB46" s="266"/>
    </row>
    <row r="47" spans="1:28" x14ac:dyDescent="0.25">
      <c r="A47" s="250">
        <f t="shared" si="7"/>
        <v>17</v>
      </c>
      <c r="B47" s="250" t="s">
        <v>132</v>
      </c>
      <c r="C47" s="250" t="s">
        <v>61</v>
      </c>
      <c r="D47" s="250">
        <v>310</v>
      </c>
      <c r="E47" s="250">
        <v>0.1</v>
      </c>
      <c r="F47" s="250">
        <v>250</v>
      </c>
      <c r="G47" s="250">
        <v>25</v>
      </c>
      <c r="H47" s="250">
        <v>1030</v>
      </c>
      <c r="I47" s="250">
        <v>4.5</v>
      </c>
      <c r="J47" s="250">
        <v>30.87</v>
      </c>
      <c r="K47" s="250">
        <v>29.58</v>
      </c>
      <c r="L47" s="321">
        <f t="shared" si="11"/>
        <v>1.2900000000000027</v>
      </c>
      <c r="M47" s="250">
        <v>10</v>
      </c>
      <c r="N47" s="250">
        <v>40</v>
      </c>
      <c r="O47" s="250" t="s">
        <v>49</v>
      </c>
      <c r="P47" s="250">
        <f t="shared" si="5"/>
        <v>10</v>
      </c>
      <c r="Q47" s="250" t="s">
        <v>59</v>
      </c>
      <c r="R47" s="250"/>
      <c r="S47" s="250"/>
      <c r="T47" s="250">
        <f t="shared" si="6"/>
        <v>15</v>
      </c>
      <c r="U47" s="250"/>
      <c r="V47" s="250"/>
      <c r="W47" s="250"/>
      <c r="AB47" s="266"/>
    </row>
    <row r="48" spans="1:28" x14ac:dyDescent="0.25">
      <c r="A48" s="250">
        <f t="shared" si="7"/>
        <v>18</v>
      </c>
      <c r="B48" s="250" t="s">
        <v>577</v>
      </c>
      <c r="C48" s="250" t="s">
        <v>61</v>
      </c>
      <c r="D48" s="250" t="s">
        <v>557</v>
      </c>
      <c r="E48" s="250">
        <v>0.1</v>
      </c>
      <c r="F48" s="250">
        <v>250</v>
      </c>
      <c r="G48" s="250">
        <v>25</v>
      </c>
      <c r="H48" s="250">
        <v>1</v>
      </c>
      <c r="I48" s="250">
        <v>4.9000000000000004</v>
      </c>
      <c r="J48" s="321">
        <v>23.1</v>
      </c>
      <c r="K48" s="250">
        <v>21.86</v>
      </c>
      <c r="L48" s="321">
        <f t="shared" si="11"/>
        <v>1.240000000000002</v>
      </c>
      <c r="M48" s="250">
        <v>10</v>
      </c>
      <c r="N48" s="250">
        <v>40</v>
      </c>
      <c r="O48" s="250" t="s">
        <v>49</v>
      </c>
      <c r="P48" s="250">
        <f t="shared" ref="P48:P49" si="12">M48</f>
        <v>10</v>
      </c>
      <c r="Q48" s="250" t="s">
        <v>59</v>
      </c>
      <c r="R48" s="250"/>
      <c r="S48" s="250"/>
      <c r="T48" s="250">
        <f t="shared" si="6"/>
        <v>15</v>
      </c>
      <c r="U48" s="250"/>
      <c r="V48" s="250"/>
      <c r="W48" s="250"/>
      <c r="AB48" s="266"/>
    </row>
    <row r="49" spans="1:42" x14ac:dyDescent="0.25">
      <c r="A49" s="250">
        <f t="shared" si="7"/>
        <v>19</v>
      </c>
      <c r="B49" s="250" t="s">
        <v>578</v>
      </c>
      <c r="C49" s="250" t="s">
        <v>61</v>
      </c>
      <c r="D49" s="250" t="s">
        <v>558</v>
      </c>
      <c r="E49" s="250">
        <v>0.1</v>
      </c>
      <c r="F49" s="250">
        <v>250</v>
      </c>
      <c r="G49" s="250">
        <v>25</v>
      </c>
      <c r="H49" s="250">
        <v>8</v>
      </c>
      <c r="I49" s="250">
        <v>4.9000000000000004</v>
      </c>
      <c r="J49" s="250">
        <v>23.11</v>
      </c>
      <c r="K49" s="250">
        <v>21.87</v>
      </c>
      <c r="L49" s="321">
        <f t="shared" si="11"/>
        <v>1.2399999999999984</v>
      </c>
      <c r="M49" s="250">
        <v>10</v>
      </c>
      <c r="N49" s="250">
        <v>40</v>
      </c>
      <c r="O49" s="250" t="s">
        <v>49</v>
      </c>
      <c r="P49" s="250">
        <f t="shared" si="12"/>
        <v>10</v>
      </c>
      <c r="Q49" s="250" t="s">
        <v>59</v>
      </c>
      <c r="R49" s="250"/>
      <c r="S49" s="250"/>
      <c r="T49" s="250">
        <f t="shared" si="6"/>
        <v>15</v>
      </c>
      <c r="U49" s="250"/>
      <c r="V49" s="250"/>
      <c r="W49" s="250"/>
      <c r="AB49" s="266"/>
    </row>
    <row r="50" spans="1:42" x14ac:dyDescent="0.25">
      <c r="A50" s="250">
        <f t="shared" si="7"/>
        <v>20</v>
      </c>
      <c r="B50" s="250" t="s">
        <v>579</v>
      </c>
      <c r="C50" s="250" t="s">
        <v>61</v>
      </c>
      <c r="D50" s="250" t="s">
        <v>560</v>
      </c>
      <c r="E50" s="250">
        <v>0.1</v>
      </c>
      <c r="F50" s="250">
        <v>250</v>
      </c>
      <c r="G50" s="250">
        <v>25</v>
      </c>
      <c r="H50" s="250">
        <v>1</v>
      </c>
      <c r="I50" s="250">
        <v>4.9000000000000004</v>
      </c>
      <c r="J50" s="250">
        <v>26.38</v>
      </c>
      <c r="K50" s="250">
        <v>25.05</v>
      </c>
      <c r="L50" s="321">
        <f t="shared" si="11"/>
        <v>1.3299999999999983</v>
      </c>
      <c r="M50" s="250">
        <v>10</v>
      </c>
      <c r="N50" s="250">
        <v>40</v>
      </c>
      <c r="O50" s="250" t="s">
        <v>49</v>
      </c>
      <c r="P50" s="250">
        <f t="shared" ref="P50" si="13">M50</f>
        <v>10</v>
      </c>
      <c r="Q50" s="250" t="s">
        <v>59</v>
      </c>
      <c r="R50" s="250"/>
      <c r="S50" s="250"/>
      <c r="T50" s="250">
        <f t="shared" si="6"/>
        <v>15</v>
      </c>
      <c r="U50" s="250"/>
      <c r="V50" s="250"/>
      <c r="W50" s="250"/>
      <c r="AB50" s="266"/>
    </row>
    <row r="51" spans="1:42" x14ac:dyDescent="0.25">
      <c r="A51" s="250">
        <f t="shared" si="7"/>
        <v>21</v>
      </c>
      <c r="B51" s="250" t="s">
        <v>580</v>
      </c>
      <c r="C51" s="250" t="s">
        <v>61</v>
      </c>
      <c r="D51" s="250" t="s">
        <v>566</v>
      </c>
      <c r="E51" s="250">
        <v>0.1</v>
      </c>
      <c r="F51" s="250">
        <v>250</v>
      </c>
      <c r="G51" s="250">
        <v>25</v>
      </c>
      <c r="H51" s="250">
        <v>8</v>
      </c>
      <c r="I51" s="250">
        <v>4.9000000000000004</v>
      </c>
      <c r="J51" s="250">
        <v>30.19</v>
      </c>
      <c r="K51" s="250">
        <v>28.99</v>
      </c>
      <c r="L51" s="321">
        <f t="shared" si="11"/>
        <v>1.2000000000000028</v>
      </c>
      <c r="M51" s="250">
        <v>10</v>
      </c>
      <c r="N51" s="250">
        <v>40</v>
      </c>
      <c r="O51" s="250" t="s">
        <v>49</v>
      </c>
      <c r="P51" s="250">
        <f t="shared" ref="P51" si="14">M51</f>
        <v>10</v>
      </c>
      <c r="Q51" s="250" t="s">
        <v>59</v>
      </c>
      <c r="R51" s="250"/>
      <c r="S51" s="250"/>
      <c r="T51" s="250">
        <f t="shared" si="6"/>
        <v>15</v>
      </c>
      <c r="U51" s="250"/>
      <c r="V51" s="250"/>
      <c r="W51" s="250"/>
      <c r="AB51" s="266"/>
    </row>
    <row r="52" spans="1:42" x14ac:dyDescent="0.25">
      <c r="A52" s="250">
        <f t="shared" si="7"/>
        <v>22</v>
      </c>
      <c r="B52" s="250" t="s">
        <v>581</v>
      </c>
      <c r="C52" s="250" t="s">
        <v>61</v>
      </c>
      <c r="D52" s="250" t="s">
        <v>569</v>
      </c>
      <c r="E52" s="250">
        <v>0.1</v>
      </c>
      <c r="F52" s="250">
        <v>250</v>
      </c>
      <c r="G52" s="250">
        <v>25</v>
      </c>
      <c r="H52" s="250">
        <v>8</v>
      </c>
      <c r="I52" s="250">
        <v>4.8</v>
      </c>
      <c r="J52" s="250">
        <v>30.72</v>
      </c>
      <c r="K52" s="250">
        <v>29.24</v>
      </c>
      <c r="L52" s="321">
        <f t="shared" si="11"/>
        <v>1.4800000000000004</v>
      </c>
      <c r="M52" s="250">
        <v>10</v>
      </c>
      <c r="N52" s="250">
        <v>40</v>
      </c>
      <c r="O52" s="250" t="s">
        <v>49</v>
      </c>
      <c r="P52" s="250">
        <f t="shared" ref="P52" si="15">M52</f>
        <v>10</v>
      </c>
      <c r="Q52" s="250" t="s">
        <v>59</v>
      </c>
      <c r="R52" s="250"/>
      <c r="S52" s="250"/>
      <c r="T52" s="250">
        <f t="shared" si="6"/>
        <v>15</v>
      </c>
      <c r="U52" s="250"/>
      <c r="V52" s="250"/>
      <c r="W52" s="250"/>
      <c r="AB52" s="266"/>
    </row>
    <row r="53" spans="1:42" x14ac:dyDescent="0.25">
      <c r="A53" s="250">
        <f t="shared" si="7"/>
        <v>23</v>
      </c>
      <c r="B53" s="250" t="s">
        <v>582</v>
      </c>
      <c r="C53" s="250" t="s">
        <v>61</v>
      </c>
      <c r="D53" s="250" t="s">
        <v>567</v>
      </c>
      <c r="E53" s="250">
        <v>0.1</v>
      </c>
      <c r="F53" s="250">
        <v>250</v>
      </c>
      <c r="G53" s="250">
        <v>25</v>
      </c>
      <c r="H53" s="250">
        <v>47</v>
      </c>
      <c r="I53" s="250">
        <v>4.8</v>
      </c>
      <c r="J53" s="250">
        <v>30.14</v>
      </c>
      <c r="K53" s="250">
        <v>28.87</v>
      </c>
      <c r="L53" s="321">
        <f t="shared" si="11"/>
        <v>1.2699999999999996</v>
      </c>
      <c r="M53" s="250">
        <v>10</v>
      </c>
      <c r="N53" s="250">
        <v>40</v>
      </c>
      <c r="O53" s="250" t="s">
        <v>49</v>
      </c>
      <c r="P53" s="250">
        <f t="shared" ref="P53" si="16">M53</f>
        <v>10</v>
      </c>
      <c r="Q53" s="250" t="s">
        <v>59</v>
      </c>
      <c r="R53" s="250"/>
      <c r="S53" s="250"/>
      <c r="T53" s="250">
        <f t="shared" si="6"/>
        <v>15</v>
      </c>
      <c r="U53" s="250"/>
      <c r="V53" s="250"/>
      <c r="W53" s="250"/>
      <c r="AB53" s="266"/>
    </row>
    <row r="54" spans="1:42" x14ac:dyDescent="0.25">
      <c r="A54" s="344" t="s">
        <v>62</v>
      </c>
      <c r="B54" s="344"/>
      <c r="C54" s="343"/>
      <c r="D54" s="343"/>
      <c r="E54" s="343"/>
      <c r="F54" s="343"/>
      <c r="G54" s="343"/>
      <c r="H54" s="343"/>
      <c r="I54" s="343"/>
      <c r="J54" s="343"/>
      <c r="K54" s="343"/>
      <c r="L54" s="343"/>
      <c r="M54" s="343">
        <f>SUM(M31:M53)</f>
        <v>244</v>
      </c>
      <c r="N54" s="343"/>
      <c r="O54" s="343"/>
      <c r="P54" s="343"/>
      <c r="Q54" s="343"/>
      <c r="R54" s="343"/>
      <c r="S54" s="343"/>
      <c r="T54" s="343">
        <f>SUM(T31:T53)</f>
        <v>366</v>
      </c>
      <c r="U54" s="343"/>
      <c r="V54" s="343"/>
      <c r="W54" s="343"/>
      <c r="X54" s="345"/>
      <c r="Y54" s="346"/>
      <c r="Z54" s="345"/>
      <c r="AA54" s="345"/>
      <c r="AB54" s="347"/>
      <c r="AC54" s="345"/>
      <c r="AD54" s="345"/>
      <c r="AE54" s="345"/>
      <c r="AF54" s="345"/>
      <c r="AG54" s="345"/>
      <c r="AH54" s="345"/>
      <c r="AI54" s="345"/>
      <c r="AJ54" s="345"/>
      <c r="AK54" s="345"/>
      <c r="AL54" s="345"/>
    </row>
    <row r="55" spans="1:42" ht="15" customHeight="1" x14ac:dyDescent="0.25">
      <c r="A55" s="348"/>
      <c r="B55" s="348"/>
      <c r="C55" s="348"/>
      <c r="D55" s="348"/>
      <c r="E55" s="348"/>
      <c r="F55" s="348"/>
      <c r="G55" s="348"/>
      <c r="H55" s="348"/>
      <c r="I55" s="348"/>
      <c r="J55" s="348"/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9"/>
      <c r="AA55" s="231"/>
      <c r="AB55" s="346"/>
      <c r="AC55" s="319"/>
      <c r="AD55" s="346"/>
      <c r="AE55" s="346"/>
      <c r="AF55" s="346"/>
      <c r="AG55" s="346"/>
      <c r="AH55" s="346"/>
      <c r="AI55" s="346"/>
      <c r="AJ55" s="346"/>
      <c r="AK55" s="346"/>
      <c r="AL55" s="346"/>
      <c r="AM55" s="346"/>
      <c r="AN55" s="346"/>
      <c r="AO55" s="319"/>
      <c r="AP55" s="319"/>
    </row>
    <row r="56" spans="1:42" ht="15" customHeight="1" x14ac:dyDescent="0.25">
      <c r="A56" s="348"/>
      <c r="B56" s="348"/>
      <c r="C56" s="348"/>
      <c r="D56" s="348"/>
      <c r="E56" s="348"/>
      <c r="F56" s="348"/>
      <c r="G56" s="348"/>
      <c r="H56" s="348"/>
      <c r="I56" s="348"/>
      <c r="J56" s="348"/>
      <c r="K56" s="348"/>
      <c r="L56" s="348"/>
      <c r="M56" s="348"/>
      <c r="N56" s="348"/>
      <c r="O56" s="348"/>
      <c r="P56" s="348"/>
      <c r="Q56" s="350">
        <f>+M54+M22</f>
        <v>406</v>
      </c>
      <c r="R56" s="348"/>
      <c r="S56" s="348"/>
      <c r="T56" s="348"/>
      <c r="U56" s="348"/>
      <c r="V56" s="348"/>
      <c r="W56" s="348"/>
      <c r="X56" s="348"/>
      <c r="Y56" s="348"/>
      <c r="Z56" s="349"/>
      <c r="AA56" s="231"/>
      <c r="AB56" s="346"/>
      <c r="AC56" s="319"/>
      <c r="AD56" s="346"/>
      <c r="AE56" s="346"/>
      <c r="AF56" s="346"/>
      <c r="AG56" s="346"/>
      <c r="AH56" s="346"/>
      <c r="AI56" s="346"/>
      <c r="AJ56" s="346"/>
      <c r="AK56" s="346"/>
      <c r="AL56" s="346"/>
      <c r="AM56" s="346"/>
      <c r="AN56" s="346"/>
      <c r="AO56" s="319"/>
      <c r="AP56" s="319"/>
    </row>
    <row r="57" spans="1:42" ht="15.75" thickBot="1" x14ac:dyDescent="0.3">
      <c r="A57" s="269" t="s">
        <v>63</v>
      </c>
      <c r="B57" s="269"/>
      <c r="C57" s="269"/>
      <c r="D57" s="269"/>
      <c r="E57" s="269"/>
      <c r="F57" s="269"/>
      <c r="G57" s="269"/>
      <c r="H57" s="270"/>
      <c r="I57" s="270"/>
      <c r="J57" s="270"/>
      <c r="X57" s="348"/>
      <c r="Y57" s="348"/>
      <c r="Z57" s="349"/>
      <c r="AA57" s="231"/>
      <c r="AB57" s="346"/>
      <c r="AD57" s="346"/>
      <c r="AE57" s="346"/>
      <c r="AF57" s="346"/>
      <c r="AG57" s="346"/>
      <c r="AH57" s="346"/>
      <c r="AI57" s="346"/>
      <c r="AJ57" s="346"/>
      <c r="AK57" s="346"/>
      <c r="AL57" s="346"/>
      <c r="AM57" s="346"/>
      <c r="AN57" s="346"/>
      <c r="AO57" s="319"/>
      <c r="AP57" s="319"/>
    </row>
    <row r="58" spans="1:42" ht="15.75" customHeight="1" thickBot="1" x14ac:dyDescent="0.3">
      <c r="A58" s="271" t="s">
        <v>0</v>
      </c>
      <c r="B58" s="271" t="s">
        <v>1</v>
      </c>
      <c r="C58" s="271" t="s">
        <v>2</v>
      </c>
      <c r="D58" s="272" t="s">
        <v>3</v>
      </c>
      <c r="E58" s="273"/>
      <c r="F58" s="274" t="s">
        <v>4</v>
      </c>
      <c r="G58" s="275"/>
      <c r="H58" s="276" t="s">
        <v>64</v>
      </c>
      <c r="I58" s="277"/>
      <c r="J58" s="277"/>
      <c r="K58" s="277"/>
      <c r="L58" s="277"/>
      <c r="M58" s="277"/>
      <c r="N58" s="277"/>
      <c r="O58" s="277"/>
      <c r="P58" s="277"/>
      <c r="Q58" s="277"/>
      <c r="R58" s="276" t="s">
        <v>65</v>
      </c>
      <c r="S58" s="277"/>
      <c r="T58" s="277"/>
      <c r="U58" s="278"/>
      <c r="V58" s="231"/>
      <c r="W58" s="231"/>
      <c r="X58" s="319"/>
      <c r="Z58" s="319"/>
      <c r="AA58" s="319"/>
      <c r="AB58" s="319"/>
      <c r="AC58" s="319"/>
      <c r="AD58" s="319"/>
      <c r="AE58" s="319"/>
      <c r="AF58" s="319"/>
      <c r="AG58" s="319"/>
      <c r="AH58" s="319"/>
      <c r="AI58" s="319"/>
      <c r="AJ58" s="319"/>
      <c r="AK58" s="319"/>
      <c r="AL58" s="319"/>
    </row>
    <row r="59" spans="1:42" ht="15.75" customHeight="1" thickBot="1" x14ac:dyDescent="0.3">
      <c r="A59" s="283"/>
      <c r="B59" s="283"/>
      <c r="C59" s="283"/>
      <c r="D59" s="281" t="s">
        <v>8</v>
      </c>
      <c r="E59" s="284" t="s">
        <v>9</v>
      </c>
      <c r="F59" s="285"/>
      <c r="G59" s="286"/>
      <c r="H59" s="284" t="s">
        <v>10</v>
      </c>
      <c r="I59" s="284" t="s">
        <v>11</v>
      </c>
      <c r="J59" s="284" t="s">
        <v>12</v>
      </c>
      <c r="K59" s="284" t="s">
        <v>13</v>
      </c>
      <c r="L59" s="284" t="s">
        <v>14</v>
      </c>
      <c r="M59" s="271" t="s">
        <v>15</v>
      </c>
      <c r="N59" s="287" t="s">
        <v>16</v>
      </c>
      <c r="O59" s="288"/>
      <c r="P59" s="288"/>
      <c r="Q59" s="289"/>
      <c r="R59" s="283" t="s">
        <v>66</v>
      </c>
      <c r="S59" s="287" t="s">
        <v>7</v>
      </c>
      <c r="T59" s="288"/>
      <c r="U59" s="289"/>
      <c r="V59" s="319"/>
      <c r="W59" s="319"/>
      <c r="X59" s="319"/>
      <c r="Z59" s="319"/>
      <c r="AA59" s="319"/>
      <c r="AB59" s="319"/>
      <c r="AC59" s="319"/>
      <c r="AD59" s="319"/>
      <c r="AE59" s="319"/>
      <c r="AF59" s="319"/>
      <c r="AG59" s="319"/>
      <c r="AH59" s="319"/>
      <c r="AI59" s="319"/>
      <c r="AJ59" s="319"/>
      <c r="AK59" s="319"/>
      <c r="AL59" s="319"/>
    </row>
    <row r="60" spans="1:42" ht="32.25" customHeight="1" thickBot="1" x14ac:dyDescent="0.3">
      <c r="A60" s="283"/>
      <c r="B60" s="283"/>
      <c r="C60" s="283"/>
      <c r="D60" s="292"/>
      <c r="E60" s="293"/>
      <c r="F60" s="294" t="s">
        <v>24</v>
      </c>
      <c r="G60" s="295" t="s">
        <v>25</v>
      </c>
      <c r="H60" s="293"/>
      <c r="I60" s="293"/>
      <c r="J60" s="293"/>
      <c r="K60" s="293"/>
      <c r="L60" s="293"/>
      <c r="M60" s="296"/>
      <c r="N60" s="297"/>
      <c r="O60" s="298"/>
      <c r="P60" s="298"/>
      <c r="Q60" s="299"/>
      <c r="R60" s="296"/>
      <c r="S60" s="297"/>
      <c r="T60" s="298"/>
      <c r="U60" s="299"/>
    </row>
    <row r="61" spans="1:42" ht="15.75" thickBot="1" x14ac:dyDescent="0.3">
      <c r="A61" s="283"/>
      <c r="B61" s="283"/>
      <c r="C61" s="283"/>
      <c r="D61" s="292"/>
      <c r="E61" s="302" t="s">
        <v>26</v>
      </c>
      <c r="F61" s="302" t="s">
        <v>27</v>
      </c>
      <c r="G61" s="302" t="s">
        <v>28</v>
      </c>
      <c r="H61" s="302" t="s">
        <v>29</v>
      </c>
      <c r="I61" s="302" t="s">
        <v>29</v>
      </c>
      <c r="J61" s="302" t="s">
        <v>30</v>
      </c>
      <c r="K61" s="302" t="s">
        <v>29</v>
      </c>
      <c r="L61" s="302" t="s">
        <v>29</v>
      </c>
      <c r="M61" s="302" t="s">
        <v>29</v>
      </c>
      <c r="N61" s="297"/>
      <c r="O61" s="298"/>
      <c r="P61" s="298"/>
      <c r="Q61" s="299"/>
      <c r="R61" s="302" t="s">
        <v>67</v>
      </c>
      <c r="S61" s="297"/>
      <c r="T61" s="298"/>
      <c r="U61" s="299"/>
    </row>
    <row r="62" spans="1:42" ht="17.25" customHeight="1" thickBot="1" x14ac:dyDescent="0.3">
      <c r="A62" s="351" t="s">
        <v>34</v>
      </c>
      <c r="B62" s="352" t="s">
        <v>35</v>
      </c>
      <c r="C62" s="352" t="s">
        <v>36</v>
      </c>
      <c r="D62" s="352" t="s">
        <v>37</v>
      </c>
      <c r="E62" s="352" t="s">
        <v>38</v>
      </c>
      <c r="F62" s="352" t="s">
        <v>39</v>
      </c>
      <c r="G62" s="352" t="s">
        <v>40</v>
      </c>
      <c r="H62" s="352" t="s">
        <v>41</v>
      </c>
      <c r="I62" s="352" t="s">
        <v>42</v>
      </c>
      <c r="J62" s="352" t="s">
        <v>43</v>
      </c>
      <c r="K62" s="352" t="s">
        <v>44</v>
      </c>
      <c r="L62" s="352" t="s">
        <v>45</v>
      </c>
      <c r="M62" s="352" t="s">
        <v>46</v>
      </c>
      <c r="N62" s="353" t="s">
        <v>47</v>
      </c>
      <c r="O62" s="353"/>
      <c r="P62" s="353"/>
      <c r="Q62" s="353"/>
      <c r="R62" s="352" t="s">
        <v>48</v>
      </c>
      <c r="S62" s="353" t="s">
        <v>49</v>
      </c>
      <c r="T62" s="353"/>
      <c r="U62" s="354"/>
    </row>
    <row r="63" spans="1:42" ht="23.25" customHeight="1" x14ac:dyDescent="0.25">
      <c r="A63" s="355">
        <v>1</v>
      </c>
      <c r="B63" s="245"/>
      <c r="C63" s="245"/>
      <c r="D63" s="245"/>
      <c r="E63" s="245"/>
      <c r="F63" s="245"/>
      <c r="G63" s="245"/>
      <c r="H63" s="245"/>
      <c r="I63" s="356"/>
      <c r="J63" s="245"/>
      <c r="K63" s="245"/>
      <c r="L63" s="245"/>
      <c r="M63" s="245"/>
      <c r="N63" s="245"/>
      <c r="O63" s="245"/>
      <c r="P63" s="245"/>
      <c r="Q63" s="245"/>
      <c r="R63" s="245"/>
      <c r="S63" s="357"/>
      <c r="T63" s="357"/>
      <c r="U63" s="358"/>
    </row>
    <row r="64" spans="1:42" ht="24" customHeight="1" thickBot="1" x14ac:dyDescent="0.3">
      <c r="A64" s="320">
        <v>2</v>
      </c>
      <c r="B64" s="250"/>
      <c r="C64" s="250"/>
      <c r="D64" s="250"/>
      <c r="E64" s="250"/>
      <c r="F64" s="250"/>
      <c r="G64" s="250"/>
      <c r="H64" s="250"/>
      <c r="I64" s="359"/>
      <c r="J64" s="250"/>
      <c r="K64" s="250"/>
      <c r="L64" s="250"/>
      <c r="M64" s="250"/>
      <c r="N64" s="250"/>
      <c r="O64" s="250"/>
      <c r="P64" s="250"/>
      <c r="Q64" s="250"/>
      <c r="R64" s="250"/>
      <c r="S64" s="360"/>
      <c r="T64" s="360"/>
      <c r="U64" s="361"/>
    </row>
    <row r="65" spans="1:21" ht="15.75" thickBot="1" x14ac:dyDescent="0.3">
      <c r="A65" s="362" t="s">
        <v>62</v>
      </c>
      <c r="B65" s="363"/>
      <c r="C65" s="334"/>
      <c r="D65" s="334"/>
      <c r="E65" s="334"/>
      <c r="F65" s="334"/>
      <c r="G65" s="334"/>
      <c r="H65" s="334"/>
      <c r="I65" s="334"/>
      <c r="J65" s="334"/>
      <c r="K65" s="334"/>
      <c r="L65" s="335"/>
      <c r="M65" s="338">
        <f>SUM(M63:M64)</f>
        <v>0</v>
      </c>
      <c r="N65" s="337"/>
      <c r="O65" s="334"/>
      <c r="P65" s="334"/>
      <c r="Q65" s="334"/>
      <c r="R65" s="334"/>
      <c r="S65" s="364"/>
      <c r="T65" s="365"/>
      <c r="U65" s="366"/>
    </row>
    <row r="69" spans="1:21" x14ac:dyDescent="0.25">
      <c r="A69" s="269" t="s">
        <v>551</v>
      </c>
      <c r="B69" s="269"/>
      <c r="C69" s="269"/>
      <c r="D69" s="269"/>
      <c r="E69" s="269"/>
      <c r="F69" s="269"/>
      <c r="G69" s="269"/>
      <c r="H69" s="270"/>
      <c r="I69" s="270"/>
      <c r="J69" s="270"/>
    </row>
    <row r="70" spans="1:21" ht="15.75" customHeight="1" x14ac:dyDescent="0.25">
      <c r="A70" s="212" t="s">
        <v>0</v>
      </c>
      <c r="B70" s="212" t="s">
        <v>1</v>
      </c>
      <c r="C70" s="212" t="s">
        <v>2</v>
      </c>
      <c r="D70" s="212" t="s">
        <v>68</v>
      </c>
      <c r="E70" s="212"/>
      <c r="F70" s="212" t="s">
        <v>64</v>
      </c>
      <c r="G70" s="212"/>
      <c r="H70" s="212"/>
      <c r="I70" s="212"/>
      <c r="J70" s="212"/>
      <c r="K70" s="367"/>
      <c r="L70" s="367"/>
      <c r="M70" s="367"/>
    </row>
    <row r="71" spans="1:21" x14ac:dyDescent="0.25">
      <c r="A71" s="212"/>
      <c r="B71" s="212"/>
      <c r="C71" s="212"/>
      <c r="D71" s="212"/>
      <c r="E71" s="212"/>
      <c r="F71" s="212" t="s">
        <v>16</v>
      </c>
      <c r="G71" s="212"/>
      <c r="H71" s="212" t="s">
        <v>15</v>
      </c>
      <c r="I71" s="212" t="s">
        <v>69</v>
      </c>
      <c r="J71" s="212" t="s">
        <v>70</v>
      </c>
      <c r="K71" s="367"/>
      <c r="L71" s="367"/>
      <c r="M71" s="367"/>
    </row>
    <row r="72" spans="1:21" x14ac:dyDescent="0.25">
      <c r="A72" s="212"/>
      <c r="B72" s="212"/>
      <c r="C72" s="212"/>
      <c r="D72" s="212"/>
      <c r="E72" s="212"/>
      <c r="F72" s="212"/>
      <c r="G72" s="212"/>
      <c r="H72" s="212"/>
      <c r="I72" s="212"/>
      <c r="J72" s="212"/>
      <c r="K72" s="367"/>
      <c r="L72" s="367"/>
      <c r="M72" s="367"/>
    </row>
    <row r="73" spans="1:21" ht="22.5" customHeight="1" x14ac:dyDescent="0.25">
      <c r="A73" s="212"/>
      <c r="B73" s="212"/>
      <c r="C73" s="212"/>
      <c r="D73" s="212"/>
      <c r="E73" s="212"/>
      <c r="F73" s="212"/>
      <c r="G73" s="212"/>
      <c r="H73" s="212"/>
      <c r="I73" s="212"/>
      <c r="J73" s="212"/>
      <c r="K73" s="367"/>
      <c r="L73" s="367"/>
      <c r="M73" s="367"/>
    </row>
    <row r="74" spans="1:21" ht="17.25" customHeight="1" x14ac:dyDescent="0.25">
      <c r="A74" s="212"/>
      <c r="B74" s="212"/>
      <c r="C74" s="212"/>
      <c r="D74" s="212"/>
      <c r="E74" s="212"/>
      <c r="F74" s="212"/>
      <c r="G74" s="212"/>
      <c r="H74" s="214" t="s">
        <v>29</v>
      </c>
      <c r="I74" s="215" t="s">
        <v>31</v>
      </c>
      <c r="J74" s="215" t="s">
        <v>31</v>
      </c>
      <c r="K74" s="367"/>
      <c r="L74" s="367"/>
      <c r="M74" s="367"/>
    </row>
    <row r="75" spans="1:21" x14ac:dyDescent="0.25">
      <c r="A75" s="216" t="s">
        <v>34</v>
      </c>
      <c r="B75" s="341" t="s">
        <v>35</v>
      </c>
      <c r="C75" s="341" t="s">
        <v>36</v>
      </c>
      <c r="D75" s="342" t="s">
        <v>37</v>
      </c>
      <c r="E75" s="342"/>
      <c r="F75" s="368" t="s">
        <v>38</v>
      </c>
      <c r="G75" s="368"/>
      <c r="H75" s="216" t="s">
        <v>39</v>
      </c>
      <c r="I75" s="216" t="s">
        <v>40</v>
      </c>
      <c r="J75" s="216" t="s">
        <v>41</v>
      </c>
      <c r="K75" s="367"/>
      <c r="L75" s="367"/>
      <c r="M75" s="367"/>
      <c r="S75" s="222"/>
    </row>
    <row r="76" spans="1:21" x14ac:dyDescent="0.25">
      <c r="A76" s="250">
        <v>1</v>
      </c>
      <c r="B76" s="250" t="s">
        <v>103</v>
      </c>
      <c r="C76" s="250" t="s">
        <v>61</v>
      </c>
      <c r="D76" s="249">
        <v>116</v>
      </c>
      <c r="E76" s="249"/>
      <c r="F76" s="212" t="s">
        <v>104</v>
      </c>
      <c r="G76" s="212"/>
      <c r="H76" s="214">
        <v>10</v>
      </c>
      <c r="I76" s="214">
        <v>2.7</v>
      </c>
      <c r="J76" s="214">
        <f>H76*1.5</f>
        <v>15</v>
      </c>
      <c r="K76" s="367"/>
      <c r="L76" s="367"/>
      <c r="M76" s="367"/>
    </row>
    <row r="77" spans="1:21" x14ac:dyDescent="0.25">
      <c r="A77" s="250">
        <v>1</v>
      </c>
      <c r="B77" s="250" t="s">
        <v>110</v>
      </c>
      <c r="C77" s="250" t="s">
        <v>61</v>
      </c>
      <c r="D77" s="249">
        <v>304</v>
      </c>
      <c r="E77" s="249"/>
      <c r="F77" s="212" t="s">
        <v>111</v>
      </c>
      <c r="G77" s="212"/>
      <c r="H77" s="214">
        <v>8</v>
      </c>
      <c r="I77" s="369"/>
      <c r="J77" s="214">
        <f>H77*1.5</f>
        <v>12</v>
      </c>
      <c r="K77" s="367"/>
      <c r="L77" s="367"/>
      <c r="M77" s="367"/>
    </row>
    <row r="78" spans="1:21" x14ac:dyDescent="0.25">
      <c r="A78" s="344" t="s">
        <v>62</v>
      </c>
      <c r="B78" s="344"/>
      <c r="C78" s="343"/>
      <c r="D78" s="344"/>
      <c r="E78" s="344"/>
      <c r="F78" s="212"/>
      <c r="G78" s="212"/>
      <c r="H78" s="370">
        <f>SUM(H76:H77)</f>
        <v>18</v>
      </c>
      <c r="I78" s="370">
        <f t="shared" ref="I78:J78" si="17">SUM(I76:I77)</f>
        <v>2.7</v>
      </c>
      <c r="J78" s="370">
        <f t="shared" si="17"/>
        <v>27</v>
      </c>
      <c r="K78" s="367"/>
      <c r="L78" s="367"/>
      <c r="M78" s="367"/>
    </row>
    <row r="81" spans="1:27" ht="15.75" thickBot="1" x14ac:dyDescent="0.3">
      <c r="A81" s="269" t="s">
        <v>71</v>
      </c>
      <c r="B81" s="269"/>
      <c r="C81" s="269"/>
      <c r="D81" s="269"/>
      <c r="E81" s="269"/>
      <c r="F81" s="269"/>
      <c r="G81" s="269"/>
      <c r="H81" s="269"/>
      <c r="I81" s="371"/>
      <c r="J81" s="371"/>
      <c r="M81" s="367"/>
    </row>
    <row r="82" spans="1:27" ht="30.75" customHeight="1" thickBot="1" x14ac:dyDescent="0.3">
      <c r="A82" s="271" t="s">
        <v>0</v>
      </c>
      <c r="B82" s="271" t="s">
        <v>1</v>
      </c>
      <c r="C82" s="287" t="s">
        <v>2</v>
      </c>
      <c r="D82" s="274" t="s">
        <v>68</v>
      </c>
      <c r="E82" s="275"/>
      <c r="F82" s="276" t="s">
        <v>64</v>
      </c>
      <c r="G82" s="278"/>
      <c r="M82" s="367"/>
    </row>
    <row r="83" spans="1:27" x14ac:dyDescent="0.25">
      <c r="A83" s="283"/>
      <c r="B83" s="283"/>
      <c r="C83" s="297"/>
      <c r="D83" s="372"/>
      <c r="E83" s="373"/>
      <c r="F83" s="274" t="s">
        <v>16</v>
      </c>
      <c r="G83" s="275"/>
    </row>
    <row r="84" spans="1:27" x14ac:dyDescent="0.25">
      <c r="A84" s="283"/>
      <c r="B84" s="283"/>
      <c r="C84" s="297"/>
      <c r="D84" s="372"/>
      <c r="E84" s="373"/>
      <c r="F84" s="372"/>
      <c r="G84" s="373"/>
    </row>
    <row r="85" spans="1:27" ht="15.75" thickBot="1" x14ac:dyDescent="0.3">
      <c r="A85" s="296"/>
      <c r="B85" s="296"/>
      <c r="C85" s="374"/>
      <c r="D85" s="375"/>
      <c r="E85" s="286"/>
      <c r="F85" s="375"/>
      <c r="G85" s="286"/>
    </row>
    <row r="86" spans="1:27" ht="15.75" thickBot="1" x14ac:dyDescent="0.3">
      <c r="A86" s="303" t="s">
        <v>34</v>
      </c>
      <c r="B86" s="304" t="s">
        <v>35</v>
      </c>
      <c r="C86" s="304" t="s">
        <v>36</v>
      </c>
      <c r="D86" s="376" t="s">
        <v>37</v>
      </c>
      <c r="E86" s="377"/>
      <c r="F86" s="378" t="s">
        <v>38</v>
      </c>
      <c r="G86" s="379"/>
    </row>
    <row r="87" spans="1:27" x14ac:dyDescent="0.25">
      <c r="A87" s="355"/>
      <c r="B87" s="245"/>
      <c r="C87" s="245"/>
      <c r="D87" s="380"/>
      <c r="E87" s="381"/>
      <c r="F87" s="382"/>
      <c r="G87" s="275"/>
    </row>
    <row r="88" spans="1:27" ht="15.75" thickBot="1" x14ac:dyDescent="0.3">
      <c r="A88" s="383"/>
      <c r="B88" s="384"/>
      <c r="C88" s="384"/>
      <c r="D88" s="385"/>
      <c r="E88" s="386"/>
      <c r="F88" s="387"/>
      <c r="G88" s="286"/>
    </row>
    <row r="90" spans="1:27" x14ac:dyDescent="0.25">
      <c r="A90" s="227" t="s">
        <v>72</v>
      </c>
      <c r="B90" s="228"/>
      <c r="C90" s="228"/>
      <c r="D90" s="228"/>
      <c r="E90" s="228"/>
      <c r="F90" s="228"/>
      <c r="G90" s="228"/>
      <c r="H90" s="229"/>
      <c r="I90" s="229"/>
      <c r="J90" s="229"/>
    </row>
    <row r="91" spans="1:27" x14ac:dyDescent="0.25">
      <c r="A91" s="231">
        <v>1</v>
      </c>
      <c r="B91" s="232" t="s">
        <v>73</v>
      </c>
      <c r="C91" s="232"/>
      <c r="D91" s="233"/>
      <c r="E91" s="232"/>
      <c r="F91" s="232"/>
      <c r="G91" s="232"/>
      <c r="H91" s="232"/>
      <c r="I91" s="232"/>
      <c r="J91" s="232"/>
    </row>
    <row r="92" spans="1:27" x14ac:dyDescent="0.25">
      <c r="A92" s="231">
        <v>2</v>
      </c>
      <c r="B92" s="232" t="s">
        <v>74</v>
      </c>
      <c r="C92" s="232"/>
      <c r="D92" s="233"/>
      <c r="E92" s="232"/>
      <c r="F92" s="232"/>
      <c r="G92" s="232"/>
      <c r="H92" s="232"/>
      <c r="I92" s="232"/>
      <c r="J92" s="232"/>
    </row>
    <row r="93" spans="1:27" x14ac:dyDescent="0.25">
      <c r="A93" s="231">
        <v>3</v>
      </c>
      <c r="B93" s="232" t="s">
        <v>75</v>
      </c>
      <c r="C93" s="232"/>
      <c r="D93" s="233"/>
      <c r="E93" s="232"/>
      <c r="F93" s="232"/>
      <c r="G93" s="232"/>
      <c r="H93" s="232"/>
      <c r="I93" s="232"/>
      <c r="J93" s="232"/>
    </row>
    <row r="94" spans="1:27" x14ac:dyDescent="0.25">
      <c r="A94" s="231">
        <v>4</v>
      </c>
      <c r="B94" s="240" t="s">
        <v>76</v>
      </c>
      <c r="C94" s="232"/>
      <c r="D94" s="233"/>
      <c r="E94" s="232"/>
      <c r="F94" s="232"/>
      <c r="G94" s="232"/>
      <c r="H94" s="232"/>
      <c r="I94" s="232"/>
      <c r="J94" s="232"/>
    </row>
    <row r="95" spans="1:27" ht="15.75" thickBot="1" x14ac:dyDescent="0.3">
      <c r="A95" s="241"/>
      <c r="B95" s="241"/>
      <c r="C95" s="241"/>
      <c r="D95" s="241"/>
      <c r="E95" s="241"/>
      <c r="F95" s="241"/>
      <c r="G95" s="241"/>
      <c r="H95" s="241"/>
      <c r="I95" s="241"/>
      <c r="J95" s="241"/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</row>
    <row r="96" spans="1:27" x14ac:dyDescent="0.25">
      <c r="A96" s="240" t="s">
        <v>77</v>
      </c>
      <c r="B96" s="388"/>
      <c r="C96" s="231"/>
      <c r="D96" s="389"/>
      <c r="E96" s="389"/>
      <c r="F96" s="389" t="s">
        <v>78</v>
      </c>
      <c r="G96" s="389"/>
      <c r="H96" s="229"/>
      <c r="I96" s="229"/>
      <c r="J96" s="229"/>
      <c r="K96" s="231"/>
      <c r="L96" s="231"/>
    </row>
    <row r="97" spans="1:12" x14ac:dyDescent="0.25">
      <c r="A97" s="231"/>
      <c r="B97" s="282"/>
      <c r="C97" s="282"/>
      <c r="D97" s="282"/>
      <c r="E97" s="282"/>
      <c r="F97" s="282"/>
      <c r="G97" s="282"/>
      <c r="H97" s="282"/>
      <c r="I97" s="282"/>
      <c r="J97" s="282"/>
      <c r="K97" s="231"/>
      <c r="L97" s="231"/>
    </row>
    <row r="98" spans="1:12" x14ac:dyDescent="0.25">
      <c r="A98" s="231"/>
      <c r="B98" s="240" t="s">
        <v>79</v>
      </c>
      <c r="C98" s="231"/>
      <c r="D98" s="231"/>
      <c r="E98" s="17" t="s">
        <v>58</v>
      </c>
      <c r="F98" s="282"/>
      <c r="G98" s="282"/>
      <c r="H98" s="282"/>
      <c r="I98" s="282"/>
      <c r="J98" s="282"/>
      <c r="K98" s="231"/>
      <c r="L98" s="231"/>
    </row>
    <row r="99" spans="1:12" ht="15.75" thickBot="1" x14ac:dyDescent="0.3">
      <c r="A99" s="231"/>
      <c r="B99" s="282"/>
      <c r="C99" s="282"/>
      <c r="D99" s="282"/>
      <c r="E99" s="282"/>
      <c r="F99" s="282"/>
      <c r="G99" s="282"/>
      <c r="H99" s="282"/>
      <c r="I99" s="282"/>
      <c r="J99" s="282"/>
      <c r="K99" s="231"/>
      <c r="L99" s="231"/>
    </row>
    <row r="100" spans="1:12" x14ac:dyDescent="0.25">
      <c r="A100" s="231"/>
      <c r="B100" s="390" t="s">
        <v>80</v>
      </c>
      <c r="C100" s="391"/>
      <c r="D100" s="391"/>
      <c r="E100" s="391"/>
      <c r="F100" s="392" t="s">
        <v>32</v>
      </c>
      <c r="G100" s="393">
        <f>COUNTIF(C76:C77,E98)</f>
        <v>0</v>
      </c>
      <c r="H100" s="282"/>
      <c r="I100" s="282"/>
      <c r="J100" s="282"/>
      <c r="K100" s="231"/>
      <c r="L100" s="231"/>
    </row>
    <row r="101" spans="1:12" x14ac:dyDescent="0.25">
      <c r="A101" s="231"/>
      <c r="B101" s="394" t="s">
        <v>81</v>
      </c>
      <c r="C101" s="395"/>
      <c r="D101" s="395"/>
      <c r="E101" s="395"/>
      <c r="F101" s="215" t="s">
        <v>32</v>
      </c>
      <c r="G101" s="396">
        <f>COUNTIF(C8:C21,E98)</f>
        <v>0</v>
      </c>
      <c r="H101" s="389"/>
      <c r="I101" s="389"/>
      <c r="J101" s="389"/>
      <c r="K101" s="231"/>
      <c r="L101" s="231"/>
    </row>
    <row r="102" spans="1:12" x14ac:dyDescent="0.25">
      <c r="A102" s="231"/>
      <c r="B102" s="394" t="s">
        <v>82</v>
      </c>
      <c r="C102" s="395"/>
      <c r="D102" s="395"/>
      <c r="E102" s="395"/>
      <c r="F102" s="215" t="s">
        <v>32</v>
      </c>
      <c r="G102" s="252">
        <f>COUNTIF(C31:C47,E98)</f>
        <v>0</v>
      </c>
      <c r="H102" s="231"/>
      <c r="I102" s="231"/>
      <c r="J102" s="231"/>
      <c r="K102" s="231"/>
      <c r="L102" s="231"/>
    </row>
    <row r="103" spans="1:12" x14ac:dyDescent="0.25">
      <c r="A103" s="231"/>
      <c r="B103" s="394" t="s">
        <v>83</v>
      </c>
      <c r="C103" s="395"/>
      <c r="D103" s="395"/>
      <c r="E103" s="395"/>
      <c r="F103" s="215" t="s">
        <v>32</v>
      </c>
      <c r="G103" s="252">
        <f>COUNTIF(C63:C64,E98)</f>
        <v>0</v>
      </c>
      <c r="H103" s="231"/>
      <c r="I103" s="231"/>
      <c r="J103" s="231"/>
      <c r="K103" s="231"/>
      <c r="L103" s="231"/>
    </row>
    <row r="104" spans="1:12" ht="15.75" thickBot="1" x14ac:dyDescent="0.3">
      <c r="A104" s="231"/>
      <c r="B104" s="397" t="s">
        <v>80</v>
      </c>
      <c r="C104" s="398"/>
      <c r="D104" s="398"/>
      <c r="E104" s="398"/>
      <c r="F104" s="399" t="s">
        <v>32</v>
      </c>
      <c r="G104" s="259">
        <f>COUNTIF(C76:C77,E98)</f>
        <v>0</v>
      </c>
      <c r="H104" s="231"/>
      <c r="I104" s="231"/>
      <c r="J104" s="231"/>
      <c r="K104" s="231"/>
      <c r="L104" s="231"/>
    </row>
    <row r="105" spans="1:12" x14ac:dyDescent="0.25">
      <c r="A105" s="231"/>
      <c r="B105" s="390" t="s">
        <v>84</v>
      </c>
      <c r="C105" s="391"/>
      <c r="D105" s="391"/>
      <c r="E105" s="391"/>
      <c r="F105" s="392" t="s">
        <v>29</v>
      </c>
      <c r="G105" s="400">
        <f>SUMIF(C76:C77,E98,H76:H77)</f>
        <v>0</v>
      </c>
      <c r="H105" s="231"/>
      <c r="I105" s="231"/>
      <c r="J105" s="231"/>
      <c r="K105" s="231"/>
      <c r="L105" s="231"/>
    </row>
    <row r="106" spans="1:12" x14ac:dyDescent="0.25">
      <c r="A106" s="231"/>
      <c r="B106" s="394" t="s">
        <v>85</v>
      </c>
      <c r="C106" s="395"/>
      <c r="D106" s="395"/>
      <c r="E106" s="395"/>
      <c r="F106" s="215" t="s">
        <v>29</v>
      </c>
      <c r="G106" s="252">
        <f>SUMIF(C8:C21,E98,M8:M21)</f>
        <v>0</v>
      </c>
      <c r="H106" s="231"/>
      <c r="I106" s="231"/>
      <c r="J106" s="231"/>
      <c r="K106" s="231"/>
      <c r="L106" s="231"/>
    </row>
    <row r="107" spans="1:12" x14ac:dyDescent="0.25">
      <c r="A107" s="231"/>
      <c r="B107" s="394" t="s">
        <v>86</v>
      </c>
      <c r="C107" s="395"/>
      <c r="D107" s="395"/>
      <c r="E107" s="395"/>
      <c r="F107" s="215" t="s">
        <v>29</v>
      </c>
      <c r="G107" s="252">
        <f>SUMIF(C31:C47,E98,M31:M47)</f>
        <v>0</v>
      </c>
      <c r="H107" s="231"/>
      <c r="I107" s="231"/>
      <c r="J107" s="231"/>
      <c r="K107" s="231"/>
      <c r="L107" s="231"/>
    </row>
    <row r="108" spans="1:12" x14ac:dyDescent="0.25">
      <c r="A108" s="231"/>
      <c r="B108" s="394" t="s">
        <v>87</v>
      </c>
      <c r="C108" s="395"/>
      <c r="D108" s="395"/>
      <c r="E108" s="395"/>
      <c r="F108" s="215" t="s">
        <v>29</v>
      </c>
      <c r="G108" s="252">
        <f>SUMIF(C63:C64,E98,M63:M64)</f>
        <v>0</v>
      </c>
      <c r="H108" s="231"/>
      <c r="I108" s="231"/>
      <c r="J108" s="231"/>
      <c r="K108" s="231"/>
      <c r="L108" s="231"/>
    </row>
    <row r="109" spans="1:12" ht="15.75" thickBot="1" x14ac:dyDescent="0.3">
      <c r="A109" s="231"/>
      <c r="B109" s="401" t="s">
        <v>84</v>
      </c>
      <c r="C109" s="402"/>
      <c r="D109" s="402"/>
      <c r="E109" s="402"/>
      <c r="F109" s="403" t="s">
        <v>29</v>
      </c>
      <c r="G109" s="404">
        <f>SUMIF(C76:C77,E98,H76:H77)</f>
        <v>0</v>
      </c>
      <c r="H109" s="231"/>
      <c r="I109" s="231"/>
      <c r="J109" s="231"/>
      <c r="K109" s="231"/>
      <c r="L109" s="231"/>
    </row>
    <row r="110" spans="1:12" x14ac:dyDescent="0.25">
      <c r="A110" s="231"/>
      <c r="B110" s="405" t="s">
        <v>88</v>
      </c>
      <c r="C110" s="406"/>
      <c r="D110" s="407"/>
      <c r="E110" s="245">
        <v>40</v>
      </c>
      <c r="F110" s="245" t="s">
        <v>32</v>
      </c>
      <c r="G110" s="408">
        <f>COUNTIFS($N$8:$N$21,E110,$C$8:$C$21,$E$98)</f>
        <v>0</v>
      </c>
      <c r="H110" s="231"/>
      <c r="I110" s="231"/>
      <c r="J110" s="231"/>
      <c r="K110" s="231"/>
      <c r="L110" s="231"/>
    </row>
    <row r="111" spans="1:12" x14ac:dyDescent="0.25">
      <c r="A111" s="231"/>
      <c r="B111" s="409" t="s">
        <v>89</v>
      </c>
      <c r="C111" s="410"/>
      <c r="D111" s="411"/>
      <c r="E111" s="250">
        <v>50</v>
      </c>
      <c r="F111" s="250" t="s">
        <v>32</v>
      </c>
      <c r="G111" s="252">
        <f>COUNTIFS($N$8:$N$21,E111,$C$8:$C$21,$E$98)</f>
        <v>0</v>
      </c>
      <c r="H111" s="231"/>
      <c r="I111" s="231"/>
      <c r="J111" s="231"/>
      <c r="K111" s="231"/>
      <c r="L111" s="231"/>
    </row>
    <row r="112" spans="1:12" x14ac:dyDescent="0.25">
      <c r="A112" s="231"/>
      <c r="B112" s="409" t="s">
        <v>90</v>
      </c>
      <c r="C112" s="410"/>
      <c r="D112" s="411"/>
      <c r="E112" s="250">
        <v>60</v>
      </c>
      <c r="F112" s="250" t="s">
        <v>32</v>
      </c>
      <c r="G112" s="252">
        <f>COUNTIFS($N$8:$N$21,E112,$C$8:$C$21,$E$98)</f>
        <v>0</v>
      </c>
      <c r="H112" s="231"/>
      <c r="I112" s="231"/>
      <c r="J112" s="231"/>
      <c r="K112" s="231"/>
      <c r="L112" s="231"/>
    </row>
    <row r="113" spans="1:12" ht="15.75" thickBot="1" x14ac:dyDescent="0.3">
      <c r="A113" s="231"/>
      <c r="B113" s="412" t="s">
        <v>91</v>
      </c>
      <c r="C113" s="413"/>
      <c r="D113" s="414"/>
      <c r="E113" s="384">
        <v>100</v>
      </c>
      <c r="F113" s="384" t="s">
        <v>32</v>
      </c>
      <c r="G113" s="415">
        <f>COUNTIFS($N$8:$N$21,E113,$C$8:$C$21,$E$98)</f>
        <v>0</v>
      </c>
      <c r="H113" s="231"/>
      <c r="I113" s="231"/>
      <c r="J113" s="231"/>
      <c r="K113" s="231"/>
      <c r="L113" s="231"/>
    </row>
    <row r="114" spans="1:12" x14ac:dyDescent="0.25">
      <c r="A114" s="231"/>
      <c r="B114" s="416" t="s">
        <v>88</v>
      </c>
      <c r="C114" s="417"/>
      <c r="D114" s="417"/>
      <c r="E114" s="245">
        <v>40</v>
      </c>
      <c r="F114" s="245" t="s">
        <v>29</v>
      </c>
      <c r="G114" s="247">
        <f>SUMIFS($M$8:$M$21,$N$8:$N$21,E114,$C$8:$C$21,$E$98)</f>
        <v>0</v>
      </c>
      <c r="H114" s="231"/>
      <c r="I114" s="231"/>
      <c r="J114" s="231"/>
      <c r="K114" s="231"/>
      <c r="L114" s="231"/>
    </row>
    <row r="115" spans="1:12" x14ac:dyDescent="0.25">
      <c r="A115" s="231"/>
      <c r="B115" s="418" t="s">
        <v>89</v>
      </c>
      <c r="C115" s="419"/>
      <c r="D115" s="419"/>
      <c r="E115" s="250">
        <v>50</v>
      </c>
      <c r="F115" s="250" t="s">
        <v>29</v>
      </c>
      <c r="G115" s="252">
        <f>SUMIFS($M$8:$M$21,$N$8:$N$21,E115,$C$8:$C$21,$E$98)</f>
        <v>0</v>
      </c>
      <c r="H115" s="231"/>
      <c r="I115" s="231"/>
      <c r="J115" s="231"/>
      <c r="K115" s="231"/>
      <c r="L115" s="231"/>
    </row>
    <row r="116" spans="1:12" x14ac:dyDescent="0.25">
      <c r="A116" s="231"/>
      <c r="B116" s="418" t="s">
        <v>90</v>
      </c>
      <c r="C116" s="419"/>
      <c r="D116" s="419"/>
      <c r="E116" s="250">
        <v>60</v>
      </c>
      <c r="F116" s="250" t="s">
        <v>29</v>
      </c>
      <c r="G116" s="252">
        <f>SUMIFS($M$8:$M$21,$N$8:$N$21,E116,$C$8:$C$21,$E$98)</f>
        <v>0</v>
      </c>
      <c r="H116" s="231"/>
      <c r="I116" s="231"/>
      <c r="J116" s="231"/>
      <c r="K116" s="231"/>
      <c r="L116" s="231"/>
    </row>
    <row r="117" spans="1:12" ht="15.75" thickBot="1" x14ac:dyDescent="0.3">
      <c r="A117" s="231"/>
      <c r="B117" s="420" t="s">
        <v>91</v>
      </c>
      <c r="C117" s="421"/>
      <c r="D117" s="421"/>
      <c r="E117" s="384">
        <v>100</v>
      </c>
      <c r="F117" s="384" t="s">
        <v>29</v>
      </c>
      <c r="G117" s="404">
        <f>SUMIFS($M$8:$M$21,$N$8:$N$21,E117,$C$8:$C$21,$E$98)</f>
        <v>0</v>
      </c>
      <c r="H117" s="231"/>
      <c r="I117" s="231"/>
      <c r="J117" s="231"/>
      <c r="K117" s="231"/>
      <c r="L117" s="231"/>
    </row>
    <row r="118" spans="1:12" x14ac:dyDescent="0.25">
      <c r="A118" s="231"/>
      <c r="B118" s="422"/>
      <c r="C118" s="423"/>
      <c r="D118" s="423"/>
      <c r="E118" s="423"/>
      <c r="F118" s="231"/>
      <c r="G118" s="231"/>
      <c r="H118" s="231"/>
      <c r="I118" s="231"/>
      <c r="J118" s="231"/>
      <c r="K118" s="231"/>
      <c r="L118" s="231"/>
    </row>
    <row r="119" spans="1:12" ht="15" customHeight="1" x14ac:dyDescent="0.25">
      <c r="A119" s="231"/>
      <c r="B119" s="424" t="s">
        <v>92</v>
      </c>
      <c r="C119" s="424"/>
      <c r="D119" s="424"/>
      <c r="E119" s="424"/>
      <c r="F119" s="424"/>
      <c r="G119" s="424"/>
      <c r="H119" s="231"/>
      <c r="I119" s="231"/>
      <c r="J119" s="231"/>
      <c r="K119" s="231"/>
      <c r="L119" s="231"/>
    </row>
  </sheetData>
  <mergeCells count="130">
    <mergeCell ref="W3:Z3"/>
    <mergeCell ref="AA3:AA6"/>
    <mergeCell ref="D4:D6"/>
    <mergeCell ref="E4:E5"/>
    <mergeCell ref="H4:H5"/>
    <mergeCell ref="I4:I5"/>
    <mergeCell ref="J4:J5"/>
    <mergeCell ref="K4:K5"/>
    <mergeCell ref="L4:L5"/>
    <mergeCell ref="X4:X5"/>
    <mergeCell ref="Y4:Y5"/>
    <mergeCell ref="Z4:Z5"/>
    <mergeCell ref="M4:M5"/>
    <mergeCell ref="N4:Q6"/>
    <mergeCell ref="R4:R5"/>
    <mergeCell ref="S4:S5"/>
    <mergeCell ref="T4:T5"/>
    <mergeCell ref="U4:U5"/>
    <mergeCell ref="A22:B22"/>
    <mergeCell ref="A25:G25"/>
    <mergeCell ref="A2:G2"/>
    <mergeCell ref="A3:A6"/>
    <mergeCell ref="B3:B6"/>
    <mergeCell ref="C3:C6"/>
    <mergeCell ref="D3:E3"/>
    <mergeCell ref="F3:G4"/>
    <mergeCell ref="H3:V3"/>
    <mergeCell ref="A26:A29"/>
    <mergeCell ref="B26:B29"/>
    <mergeCell ref="C26:C29"/>
    <mergeCell ref="D26:E26"/>
    <mergeCell ref="F26:G27"/>
    <mergeCell ref="V4:V5"/>
    <mergeCell ref="W4:W5"/>
    <mergeCell ref="N27:Q29"/>
    <mergeCell ref="R27:R28"/>
    <mergeCell ref="S27:S28"/>
    <mergeCell ref="T27:T28"/>
    <mergeCell ref="U27:U28"/>
    <mergeCell ref="V27:V28"/>
    <mergeCell ref="H26:V26"/>
    <mergeCell ref="W26:W29"/>
    <mergeCell ref="D27:D29"/>
    <mergeCell ref="E27:E28"/>
    <mergeCell ref="H27:H28"/>
    <mergeCell ref="I27:I28"/>
    <mergeCell ref="J27:J28"/>
    <mergeCell ref="K27:K28"/>
    <mergeCell ref="L27:L28"/>
    <mergeCell ref="M27:M28"/>
    <mergeCell ref="N7:Q7"/>
    <mergeCell ref="N30:Q30"/>
    <mergeCell ref="A54:B54"/>
    <mergeCell ref="A57:G57"/>
    <mergeCell ref="A58:A61"/>
    <mergeCell ref="B58:B61"/>
    <mergeCell ref="C58:C61"/>
    <mergeCell ref="D58:E58"/>
    <mergeCell ref="F58:G59"/>
    <mergeCell ref="H58:Q58"/>
    <mergeCell ref="R59:R60"/>
    <mergeCell ref="S59:U61"/>
    <mergeCell ref="N62:Q62"/>
    <mergeCell ref="S62:U62"/>
    <mergeCell ref="S63:U63"/>
    <mergeCell ref="S64:U64"/>
    <mergeCell ref="R58:U58"/>
    <mergeCell ref="D59:D61"/>
    <mergeCell ref="E59:E60"/>
    <mergeCell ref="H59:H60"/>
    <mergeCell ref="I59:I60"/>
    <mergeCell ref="J59:J60"/>
    <mergeCell ref="K59:K60"/>
    <mergeCell ref="L59:L60"/>
    <mergeCell ref="M59:M60"/>
    <mergeCell ref="N59:Q61"/>
    <mergeCell ref="H71:H73"/>
    <mergeCell ref="I71:I73"/>
    <mergeCell ref="J71:J73"/>
    <mergeCell ref="D75:E75"/>
    <mergeCell ref="F75:G75"/>
    <mergeCell ref="D76:E76"/>
    <mergeCell ref="F76:G76"/>
    <mergeCell ref="A65:B65"/>
    <mergeCell ref="S65:U65"/>
    <mergeCell ref="A69:G69"/>
    <mergeCell ref="A70:A74"/>
    <mergeCell ref="B70:B74"/>
    <mergeCell ref="C70:C74"/>
    <mergeCell ref="D70:E74"/>
    <mergeCell ref="F70:J70"/>
    <mergeCell ref="F71:G74"/>
    <mergeCell ref="A82:A85"/>
    <mergeCell ref="B82:B85"/>
    <mergeCell ref="C82:C85"/>
    <mergeCell ref="D82:E85"/>
    <mergeCell ref="F82:G82"/>
    <mergeCell ref="F83:G85"/>
    <mergeCell ref="D77:E77"/>
    <mergeCell ref="F77:G77"/>
    <mergeCell ref="A78:B78"/>
    <mergeCell ref="D78:E78"/>
    <mergeCell ref="F78:G78"/>
    <mergeCell ref="A81:H81"/>
    <mergeCell ref="B100:E100"/>
    <mergeCell ref="B101:E101"/>
    <mergeCell ref="B102:E102"/>
    <mergeCell ref="B103:E103"/>
    <mergeCell ref="B104:E104"/>
    <mergeCell ref="B105:E105"/>
    <mergeCell ref="D86:E86"/>
    <mergeCell ref="F86:G86"/>
    <mergeCell ref="D87:E87"/>
    <mergeCell ref="F87:G87"/>
    <mergeCell ref="D88:E88"/>
    <mergeCell ref="F88:G88"/>
    <mergeCell ref="B118:E118"/>
    <mergeCell ref="B119:G119"/>
    <mergeCell ref="B112:D112"/>
    <mergeCell ref="B113:D113"/>
    <mergeCell ref="B114:D114"/>
    <mergeCell ref="B115:D115"/>
    <mergeCell ref="B116:D116"/>
    <mergeCell ref="B117:D117"/>
    <mergeCell ref="B106:E106"/>
    <mergeCell ref="B107:E107"/>
    <mergeCell ref="B108:E108"/>
    <mergeCell ref="B109:E109"/>
    <mergeCell ref="B110:D110"/>
    <mergeCell ref="B111:D111"/>
  </mergeCells>
  <phoneticPr fontId="17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A83A9-7408-4BF1-9D99-25193F61E20E}">
  <dimension ref="A1:AE87"/>
  <sheetViews>
    <sheetView zoomScale="85" zoomScaleNormal="85" workbookViewId="0">
      <selection activeCell="B41" sqref="B41"/>
    </sheetView>
  </sheetViews>
  <sheetFormatPr defaultRowHeight="15" x14ac:dyDescent="0.25"/>
  <cols>
    <col min="1" max="1" width="5.42578125" customWidth="1"/>
    <col min="2" max="2" width="45.42578125" customWidth="1"/>
    <col min="6" max="6" width="12.140625" customWidth="1"/>
    <col min="8" max="8" width="8.28515625" customWidth="1"/>
    <col min="11" max="11" width="8.140625" customWidth="1"/>
    <col min="12" max="12" width="9.28515625" customWidth="1"/>
    <col min="13" max="13" width="6.28515625" customWidth="1"/>
    <col min="15" max="15" width="7.85546875" customWidth="1"/>
    <col min="16" max="16" width="10.28515625" customWidth="1"/>
  </cols>
  <sheetData>
    <row r="1" spans="1:31" ht="15.75" x14ac:dyDescent="0.25">
      <c r="A1" s="1" t="s">
        <v>552</v>
      </c>
    </row>
    <row r="2" spans="1:31" x14ac:dyDescent="0.25">
      <c r="A2" s="51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1" x14ac:dyDescent="0.25">
      <c r="A3" s="133" t="s">
        <v>0</v>
      </c>
      <c r="B3" s="130" t="s">
        <v>222</v>
      </c>
      <c r="C3" s="130" t="s">
        <v>223</v>
      </c>
      <c r="D3" s="130" t="s">
        <v>224</v>
      </c>
      <c r="E3" s="130"/>
      <c r="F3" s="130"/>
      <c r="G3" s="131" t="s">
        <v>62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31" x14ac:dyDescent="0.25">
      <c r="A4" s="133"/>
      <c r="B4" s="130"/>
      <c r="C4" s="130"/>
      <c r="D4" s="130" t="s">
        <v>225</v>
      </c>
      <c r="E4" s="130"/>
      <c r="F4" s="130"/>
      <c r="G4" s="131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31" x14ac:dyDescent="0.25">
      <c r="A5" s="133"/>
      <c r="B5" s="130"/>
      <c r="C5" s="130"/>
      <c r="D5" s="2" t="s">
        <v>226</v>
      </c>
      <c r="E5" s="2" t="s">
        <v>227</v>
      </c>
      <c r="F5" s="2" t="s">
        <v>262</v>
      </c>
      <c r="G5" s="1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31" x14ac:dyDescent="0.25">
      <c r="A6" s="56" t="s">
        <v>34</v>
      </c>
      <c r="B6" s="57" t="s">
        <v>35</v>
      </c>
      <c r="C6" s="57" t="s">
        <v>36</v>
      </c>
      <c r="D6" s="57" t="s">
        <v>37</v>
      </c>
      <c r="E6" s="57" t="s">
        <v>38</v>
      </c>
      <c r="F6" s="57" t="s">
        <v>40</v>
      </c>
      <c r="G6" s="58" t="s">
        <v>41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31" x14ac:dyDescent="0.25">
      <c r="A7" s="2">
        <v>1</v>
      </c>
      <c r="B7" s="59" t="s">
        <v>228</v>
      </c>
      <c r="C7" s="2"/>
      <c r="D7" s="2"/>
      <c r="E7" s="2"/>
      <c r="F7" s="2"/>
      <c r="G7" s="24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31" x14ac:dyDescent="0.25">
      <c r="A8" s="2">
        <f>A7+1</f>
        <v>2</v>
      </c>
      <c r="B8" s="2" t="s">
        <v>268</v>
      </c>
      <c r="C8" s="2" t="s">
        <v>29</v>
      </c>
      <c r="D8" s="2">
        <f>SUM('T7'!X8:X10)</f>
        <v>32</v>
      </c>
      <c r="E8" s="2">
        <f>SUM('T7'!X11:X20)+SUM('T7'!H76:H77)</f>
        <v>90</v>
      </c>
      <c r="F8" s="2">
        <f>SUM('T7'!X21)</f>
        <v>7</v>
      </c>
      <c r="G8" s="24">
        <f>SUM(D8:F8)</f>
        <v>129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1" x14ac:dyDescent="0.25">
      <c r="A9" s="2">
        <f t="shared" ref="A9:A36" si="0">A8+1</f>
        <v>3</v>
      </c>
      <c r="B9" s="2" t="s">
        <v>263</v>
      </c>
      <c r="C9" s="2" t="s">
        <v>229</v>
      </c>
      <c r="D9" s="2">
        <f>SUM('T7'!Y8:Y10)</f>
        <v>4</v>
      </c>
      <c r="E9" s="2">
        <f>SUM('T7'!Y11:Y20)+SUM('T7'!I76:I77)</f>
        <v>8.1000000000000014</v>
      </c>
      <c r="F9" s="2"/>
      <c r="G9" s="24">
        <f>SUM(D9:F9)</f>
        <v>12.100000000000001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31" x14ac:dyDescent="0.25">
      <c r="A10" s="2">
        <f t="shared" si="0"/>
        <v>4</v>
      </c>
      <c r="B10" s="24" t="s">
        <v>230</v>
      </c>
      <c r="C10" s="2"/>
      <c r="D10" s="2"/>
      <c r="E10" s="2"/>
      <c r="F10" s="2"/>
      <c r="G10" s="2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31" x14ac:dyDescent="0.25">
      <c r="A11" s="2">
        <f t="shared" si="0"/>
        <v>5</v>
      </c>
      <c r="B11" s="2" t="s">
        <v>81</v>
      </c>
      <c r="C11" s="2" t="s">
        <v>32</v>
      </c>
      <c r="D11" s="2">
        <v>3</v>
      </c>
      <c r="E11" s="2">
        <v>10</v>
      </c>
      <c r="F11" s="2">
        <v>1</v>
      </c>
      <c r="G11" s="24">
        <f>SUM(D11:F11)</f>
        <v>14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31" x14ac:dyDescent="0.25">
      <c r="A12" s="2">
        <f t="shared" si="0"/>
        <v>6</v>
      </c>
      <c r="B12" s="2" t="s">
        <v>82</v>
      </c>
      <c r="C12" s="2" t="s">
        <v>32</v>
      </c>
      <c r="D12" s="2">
        <v>8</v>
      </c>
      <c r="E12" s="2">
        <v>15</v>
      </c>
      <c r="F12" s="2"/>
      <c r="G12" s="24">
        <f>SUM(D12:F12)</f>
        <v>23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31" x14ac:dyDescent="0.25">
      <c r="A13" s="2">
        <f t="shared" si="0"/>
        <v>7</v>
      </c>
      <c r="B13" s="2" t="s">
        <v>80</v>
      </c>
      <c r="C13" s="2" t="s">
        <v>32</v>
      </c>
      <c r="D13" s="2"/>
      <c r="E13" s="2">
        <v>2</v>
      </c>
      <c r="F13" s="2"/>
      <c r="G13" s="24">
        <f>SUM(D13:F13)</f>
        <v>2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31" x14ac:dyDescent="0.25">
      <c r="A14" s="2">
        <f t="shared" si="0"/>
        <v>8</v>
      </c>
      <c r="B14" s="24" t="s">
        <v>231</v>
      </c>
      <c r="C14" s="2"/>
      <c r="D14" s="2"/>
      <c r="E14" s="2"/>
      <c r="F14" s="2"/>
      <c r="G14" s="2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spans="1:31" x14ac:dyDescent="0.25">
      <c r="A15" s="2">
        <f t="shared" si="0"/>
        <v>9</v>
      </c>
      <c r="B15" s="2" t="s">
        <v>264</v>
      </c>
      <c r="C15" s="2" t="s">
        <v>29</v>
      </c>
      <c r="D15" s="2">
        <f>SUMIF('T7'!N8:N10,40,'T7'!M8:M10)+SUMIF('T7'!N31:N38,40,'T7'!M31:M38)</f>
        <v>89</v>
      </c>
      <c r="E15" s="2">
        <f>SUMIF('T7'!N11:N20,40,'T7'!M11:M20)+SUMIF('T7'!N39:N53,40,'T7'!M39:M53)</f>
        <v>130</v>
      </c>
      <c r="F15" s="2">
        <f>'T7'!M21</f>
        <v>11</v>
      </c>
      <c r="G15" s="24">
        <f>SUM(D15:F15)</f>
        <v>230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31" x14ac:dyDescent="0.25">
      <c r="A16" s="2">
        <f t="shared" si="0"/>
        <v>10</v>
      </c>
      <c r="B16" s="2" t="s">
        <v>265</v>
      </c>
      <c r="C16" s="2" t="s">
        <v>29</v>
      </c>
      <c r="D16" s="2">
        <f>SUMIF('T7'!N8:N10,50,'T7'!M8:M10)+SUMIF('T7'!N31:N38,50,'T7'!M31:M38)</f>
        <v>31</v>
      </c>
      <c r="E16" s="2">
        <f>SUMIF('T7'!N11:N20,50,'T7'!M11:M20)+SUMIF('T7'!N39:N53,50,'T7'!M39:M53)</f>
        <v>63</v>
      </c>
      <c r="F16" s="2"/>
      <c r="G16" s="24">
        <f>SUM(D16:F16)</f>
        <v>94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spans="1:31" x14ac:dyDescent="0.25">
      <c r="A17" s="2">
        <f t="shared" si="0"/>
        <v>11</v>
      </c>
      <c r="B17" s="2" t="s">
        <v>266</v>
      </c>
      <c r="C17" s="2" t="s">
        <v>29</v>
      </c>
      <c r="D17" s="2">
        <f>SUMIF('T7'!N8:N10,60,'T7'!M8:M10)+SUMIF('T7'!N31:N38,60,'T7'!M31:M38)</f>
        <v>10</v>
      </c>
      <c r="E17" s="2">
        <f>SUMIF('T7'!N11:N20,60,'T7'!M11:M20)+SUMIF('T7'!N39:N53,60,'T7'!M39:M53)</f>
        <v>58</v>
      </c>
      <c r="F17" s="2"/>
      <c r="G17" s="24">
        <f>SUM(D17:F17)</f>
        <v>68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</row>
    <row r="18" spans="1:31" x14ac:dyDescent="0.25">
      <c r="A18" s="2">
        <f t="shared" si="0"/>
        <v>12</v>
      </c>
      <c r="B18" s="2" t="s">
        <v>267</v>
      </c>
      <c r="C18" s="2" t="s">
        <v>29</v>
      </c>
      <c r="D18" s="2"/>
      <c r="E18" s="2">
        <f>SUMIF('T7'!N11:N20,100,'T7'!M11:M20)+SUMIF('T7'!N39:N53,100,'T7'!M39:M53)</f>
        <v>14</v>
      </c>
      <c r="F18" s="2"/>
      <c r="G18" s="24">
        <f>SUM(D18:F18)</f>
        <v>14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1:31" x14ac:dyDescent="0.25">
      <c r="A19" s="2">
        <f t="shared" si="0"/>
        <v>13</v>
      </c>
      <c r="B19" s="24" t="s">
        <v>232</v>
      </c>
      <c r="C19" s="2"/>
      <c r="D19" s="2"/>
      <c r="E19" s="2"/>
      <c r="F19" s="2"/>
      <c r="G19" s="24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pans="1:31" x14ac:dyDescent="0.25">
      <c r="A20" s="2">
        <f t="shared" si="0"/>
        <v>14</v>
      </c>
      <c r="B20" s="2" t="s">
        <v>269</v>
      </c>
      <c r="C20" s="2" t="s">
        <v>233</v>
      </c>
      <c r="D20" s="2">
        <f>COUNTIFS('T7'!N8:N10,"=40",'T7'!Q8:Q10,"=MAOK")+COUNTIFS('T7'!N31:N38,"=40",'T7'!Q31:Q38,"=MAOK")</f>
        <v>8</v>
      </c>
      <c r="E20" s="2">
        <f>COUNTIFS('T7'!N11:N20,"=40",'T7'!Q11:Q20,"=MAOK")+COUNTIFS('T7'!N39:N53,"=40",'T7'!Q39:Q53,"=MAOK")</f>
        <v>13</v>
      </c>
      <c r="F20" s="2">
        <v>1</v>
      </c>
      <c r="G20" s="24">
        <f>SUM(D20:F20)</f>
        <v>22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pans="1:31" x14ac:dyDescent="0.25">
      <c r="A21" s="2">
        <f t="shared" si="0"/>
        <v>15</v>
      </c>
      <c r="B21" s="2" t="s">
        <v>234</v>
      </c>
      <c r="C21" s="2" t="s">
        <v>233</v>
      </c>
      <c r="D21" s="2">
        <f>COUNTIFS('T7'!N8:N10,"=50",'T7'!Q8:Q10,"=MAOK")+COUNTIFS('T7'!N31:N38,"=50",'T7'!Q31:Q38,"=MAOK")</f>
        <v>2</v>
      </c>
      <c r="E21" s="2">
        <f>COUNTIFS('T7'!N11:N20,"=50",'T7'!Q11:Q20,"=MAOK")+COUNTIFS('T7'!N39:N53,"=50",'T7'!Q39:Q53,"=MAOK")</f>
        <v>6</v>
      </c>
      <c r="F21" s="2"/>
      <c r="G21" s="24">
        <f>SUM(D21:F21)</f>
        <v>8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spans="1:31" x14ac:dyDescent="0.25">
      <c r="A22" s="2">
        <f t="shared" si="0"/>
        <v>16</v>
      </c>
      <c r="B22" s="2" t="s">
        <v>235</v>
      </c>
      <c r="C22" s="2" t="s">
        <v>233</v>
      </c>
      <c r="D22" s="2">
        <f>COUNTIFS('T7'!N8:N10,"=60",'T7'!Q8:Q10,"=MAOK")+COUNTIFS('T7'!N31:N38,"=60",'T7'!Q31:Q38,"=MAOK")</f>
        <v>1</v>
      </c>
      <c r="E22" s="2">
        <f>COUNTIFS('T7'!N11:N20,"=60",'T7'!Q11:Q20,"=MAOK")+COUNTIFS('T7'!N39:N53,"=60",'T7'!Q39:Q53,"=MAOK")</f>
        <v>5</v>
      </c>
      <c r="F22" s="2"/>
      <c r="G22" s="24">
        <f>SUM(D22:F22)</f>
        <v>6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spans="1:31" x14ac:dyDescent="0.25">
      <c r="A23" s="2">
        <f t="shared" si="0"/>
        <v>17</v>
      </c>
      <c r="B23" s="2" t="s">
        <v>236</v>
      </c>
      <c r="C23" s="2" t="s">
        <v>233</v>
      </c>
      <c r="D23" s="2"/>
      <c r="E23" s="2">
        <f>COUNTIFS('T7'!N11:N20,"=100",'T7'!Q11:Q20,"=KOK")+COUNTIFS('T7'!N39:N53,"=100",'T7'!Q39:Q53,"=KOK")</f>
        <v>1</v>
      </c>
      <c r="F23" s="2"/>
      <c r="G23" s="24">
        <f>SUM(D23:F23)</f>
        <v>1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1" x14ac:dyDescent="0.25">
      <c r="A24" s="2">
        <f t="shared" si="0"/>
        <v>18</v>
      </c>
      <c r="B24" s="24" t="s">
        <v>237</v>
      </c>
      <c r="C24" s="2"/>
      <c r="D24" s="2"/>
      <c r="E24" s="2"/>
      <c r="F24" s="2"/>
      <c r="G24" s="24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1" x14ac:dyDescent="0.25">
      <c r="A25" s="2">
        <f t="shared" si="0"/>
        <v>19</v>
      </c>
      <c r="B25" s="2" t="s">
        <v>240</v>
      </c>
      <c r="C25" s="2" t="s">
        <v>229</v>
      </c>
      <c r="D25" s="81">
        <f>SUM('T7'!T31:T38)</f>
        <v>133.5</v>
      </c>
      <c r="E25" s="81">
        <f>SUM('T7'!T39:T53)</f>
        <v>232.5</v>
      </c>
      <c r="F25" s="2"/>
      <c r="G25" s="24">
        <f>SUM(D25:F25)</f>
        <v>366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1" x14ac:dyDescent="0.25">
      <c r="A26" s="2">
        <f t="shared" si="0"/>
        <v>20</v>
      </c>
      <c r="B26" s="2" t="s">
        <v>238</v>
      </c>
      <c r="C26" s="2" t="s">
        <v>32</v>
      </c>
      <c r="D26" s="2">
        <f>SUM('T7'!U8:U10)</f>
        <v>6</v>
      </c>
      <c r="E26" s="2">
        <f>SUM('T7'!U11:U20)</f>
        <v>8</v>
      </c>
      <c r="F26" s="2">
        <f>'T7'!U21</f>
        <v>2</v>
      </c>
      <c r="G26" s="24">
        <f t="shared" ref="G26:G28" si="1">SUM(D26:F26)</f>
        <v>16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1:31" x14ac:dyDescent="0.25">
      <c r="A27" s="2">
        <f t="shared" si="0"/>
        <v>21</v>
      </c>
      <c r="B27" s="2" t="s">
        <v>22</v>
      </c>
      <c r="C27" s="2" t="s">
        <v>229</v>
      </c>
      <c r="D27" s="2">
        <f>SUM('T7'!Y8:Y10)</f>
        <v>4</v>
      </c>
      <c r="E27" s="2">
        <f>SUM('T7'!Y11:Y20)+SUM('T7'!I76:I77)</f>
        <v>8.1000000000000014</v>
      </c>
      <c r="F27" s="2"/>
      <c r="G27" s="24">
        <f t="shared" si="1"/>
        <v>12.100000000000001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pans="1:31" x14ac:dyDescent="0.25">
      <c r="A28" s="2">
        <f t="shared" si="0"/>
        <v>22</v>
      </c>
      <c r="B28" s="2" t="s">
        <v>239</v>
      </c>
      <c r="C28" s="2" t="s">
        <v>229</v>
      </c>
      <c r="D28" s="2">
        <f>SUM('T7'!Z8:Z10)</f>
        <v>61.5</v>
      </c>
      <c r="E28" s="2">
        <f>SUM('T7'!Z11:Z20)+SUM('T7'!J76:J77)</f>
        <v>192</v>
      </c>
      <c r="F28" s="2">
        <f>'T7'!Z21</f>
        <v>16.5</v>
      </c>
      <c r="G28" s="24">
        <f t="shared" si="1"/>
        <v>270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pans="1:31" x14ac:dyDescent="0.25">
      <c r="A29" s="2">
        <f t="shared" si="0"/>
        <v>23</v>
      </c>
      <c r="B29" s="28" t="s">
        <v>241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</row>
    <row r="30" spans="1:31" x14ac:dyDescent="0.25">
      <c r="A30" s="2">
        <f t="shared" si="0"/>
        <v>24</v>
      </c>
      <c r="B30" s="52" t="s">
        <v>242</v>
      </c>
      <c r="C30" s="52" t="s">
        <v>243</v>
      </c>
      <c r="D30" s="170" t="s">
        <v>244</v>
      </c>
      <c r="E30" s="170"/>
      <c r="F30" s="170" t="s">
        <v>245</v>
      </c>
      <c r="G30" s="170"/>
      <c r="H30" s="170" t="s">
        <v>246</v>
      </c>
      <c r="I30" s="170"/>
      <c r="J30" s="170" t="s">
        <v>247</v>
      </c>
      <c r="K30" s="170"/>
      <c r="L30" s="170" t="s">
        <v>248</v>
      </c>
      <c r="M30" s="170"/>
      <c r="N30" s="170" t="s">
        <v>249</v>
      </c>
      <c r="O30" s="170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</row>
    <row r="31" spans="1:31" x14ac:dyDescent="0.25">
      <c r="A31" s="2">
        <f t="shared" si="0"/>
        <v>25</v>
      </c>
      <c r="B31" s="52" t="s">
        <v>250</v>
      </c>
      <c r="C31" s="52" t="s">
        <v>251</v>
      </c>
      <c r="D31" s="52" t="s">
        <v>252</v>
      </c>
      <c r="E31" s="52" t="s">
        <v>31</v>
      </c>
      <c r="F31" s="52" t="s">
        <v>253</v>
      </c>
      <c r="G31" s="52" t="s">
        <v>254</v>
      </c>
      <c r="H31" s="52" t="s">
        <v>252</v>
      </c>
      <c r="I31" s="52" t="s">
        <v>31</v>
      </c>
      <c r="J31" s="52" t="s">
        <v>253</v>
      </c>
      <c r="K31" s="52" t="s">
        <v>254</v>
      </c>
      <c r="L31" s="52" t="s">
        <v>255</v>
      </c>
      <c r="M31" s="52" t="s">
        <v>256</v>
      </c>
      <c r="N31" s="52" t="s">
        <v>257</v>
      </c>
      <c r="O31" s="52" t="s">
        <v>32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</row>
    <row r="32" spans="1:31" x14ac:dyDescent="0.25">
      <c r="A32" s="2">
        <f t="shared" si="0"/>
        <v>26</v>
      </c>
      <c r="B32" s="19" t="s">
        <v>258</v>
      </c>
      <c r="C32" s="52">
        <f>G20</f>
        <v>22</v>
      </c>
      <c r="D32" s="52">
        <v>2.7</v>
      </c>
      <c r="E32" s="53">
        <f>D32*C32</f>
        <v>59.400000000000006</v>
      </c>
      <c r="F32" s="52">
        <v>10</v>
      </c>
      <c r="G32" s="54">
        <f>F32*C32</f>
        <v>220</v>
      </c>
      <c r="H32" s="52">
        <v>3.2</v>
      </c>
      <c r="I32" s="53">
        <f>C32*H32</f>
        <v>70.400000000000006</v>
      </c>
      <c r="J32" s="52">
        <v>64</v>
      </c>
      <c r="K32" s="52">
        <f>C32*J32</f>
        <v>1408</v>
      </c>
      <c r="L32" s="52">
        <v>1.9</v>
      </c>
      <c r="M32" s="53">
        <f>C32*L32</f>
        <v>41.8</v>
      </c>
      <c r="N32" s="52">
        <v>380</v>
      </c>
      <c r="O32" s="52">
        <f>C32*N32</f>
        <v>8360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</row>
    <row r="33" spans="1:31" x14ac:dyDescent="0.25">
      <c r="A33" s="2">
        <f t="shared" si="0"/>
        <v>27</v>
      </c>
      <c r="B33" s="19" t="s">
        <v>259</v>
      </c>
      <c r="C33" s="52">
        <f>G21</f>
        <v>8</v>
      </c>
      <c r="D33" s="52">
        <v>2.7</v>
      </c>
      <c r="E33" s="53">
        <f t="shared" ref="E33:E35" si="2">D33*C33</f>
        <v>21.6</v>
      </c>
      <c r="F33" s="52">
        <v>12</v>
      </c>
      <c r="G33" s="54">
        <f>F33*C33</f>
        <v>96</v>
      </c>
      <c r="H33" s="52">
        <v>3.2</v>
      </c>
      <c r="I33" s="53">
        <f>C33*H33</f>
        <v>25.6</v>
      </c>
      <c r="J33" s="52">
        <v>63</v>
      </c>
      <c r="K33" s="52">
        <f>C33*J33</f>
        <v>504</v>
      </c>
      <c r="L33" s="52">
        <v>1.9</v>
      </c>
      <c r="M33" s="53">
        <f>C33*L33</f>
        <v>15.2</v>
      </c>
      <c r="N33" s="52">
        <v>380</v>
      </c>
      <c r="O33" s="52">
        <f>C33*N33</f>
        <v>3040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</row>
    <row r="34" spans="1:31" x14ac:dyDescent="0.25">
      <c r="A34" s="2">
        <f t="shared" si="0"/>
        <v>28</v>
      </c>
      <c r="B34" s="19" t="s">
        <v>260</v>
      </c>
      <c r="C34" s="52">
        <f>G22</f>
        <v>6</v>
      </c>
      <c r="D34" s="52">
        <v>2.7</v>
      </c>
      <c r="E34" s="53">
        <f t="shared" si="2"/>
        <v>16.200000000000003</v>
      </c>
      <c r="F34" s="52">
        <v>12</v>
      </c>
      <c r="G34" s="54">
        <f>F34*C34</f>
        <v>72</v>
      </c>
      <c r="H34" s="52">
        <v>3.2</v>
      </c>
      <c r="I34" s="53">
        <f>C34*H34</f>
        <v>19.200000000000003</v>
      </c>
      <c r="J34" s="52">
        <v>63</v>
      </c>
      <c r="K34" s="52">
        <f>C34*J34</f>
        <v>378</v>
      </c>
      <c r="L34" s="52">
        <v>1.9</v>
      </c>
      <c r="M34" s="53">
        <f>C34*L34</f>
        <v>11.399999999999999</v>
      </c>
      <c r="N34" s="52">
        <v>380</v>
      </c>
      <c r="O34" s="52">
        <f>C34*N34</f>
        <v>2280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</row>
    <row r="35" spans="1:31" x14ac:dyDescent="0.25">
      <c r="A35" s="2">
        <f t="shared" si="0"/>
        <v>29</v>
      </c>
      <c r="B35" s="19" t="s">
        <v>261</v>
      </c>
      <c r="C35" s="52">
        <f>G23</f>
        <v>1</v>
      </c>
      <c r="D35" s="52">
        <v>12.1</v>
      </c>
      <c r="E35" s="53">
        <f t="shared" si="2"/>
        <v>12.1</v>
      </c>
      <c r="F35" s="52">
        <v>55</v>
      </c>
      <c r="G35" s="54">
        <f>F35*C35</f>
        <v>55</v>
      </c>
      <c r="H35" s="52">
        <v>1.7</v>
      </c>
      <c r="I35" s="53">
        <f>C35*H35</f>
        <v>1.7</v>
      </c>
      <c r="J35" s="52">
        <v>33</v>
      </c>
      <c r="K35" s="52">
        <f>C35*J35</f>
        <v>33</v>
      </c>
      <c r="L35" s="53">
        <v>1</v>
      </c>
      <c r="M35" s="53">
        <f>C35*L35</f>
        <v>1</v>
      </c>
      <c r="N35" s="52">
        <v>165</v>
      </c>
      <c r="O35" s="52">
        <f>C35*N35</f>
        <v>165</v>
      </c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</row>
    <row r="36" spans="1:31" x14ac:dyDescent="0.25">
      <c r="A36" s="2">
        <f t="shared" si="0"/>
        <v>30</v>
      </c>
      <c r="B36" s="28" t="s">
        <v>62</v>
      </c>
      <c r="C36" s="60">
        <f>SUM(C32:C35)</f>
        <v>37</v>
      </c>
      <c r="D36" s="60"/>
      <c r="E36" s="61">
        <f>SUM(E32:E35)</f>
        <v>109.3</v>
      </c>
      <c r="F36" s="60"/>
      <c r="G36" s="60">
        <f>SUM(G32:G35)</f>
        <v>443</v>
      </c>
      <c r="H36" s="60"/>
      <c r="I36" s="60">
        <f>SUM(I32:I35)</f>
        <v>116.9</v>
      </c>
      <c r="J36" s="60"/>
      <c r="K36" s="60">
        <f>SUM(K32:K35)</f>
        <v>2323</v>
      </c>
      <c r="L36" s="60"/>
      <c r="M36" s="61">
        <f>SUM(M32:M35)</f>
        <v>69.400000000000006</v>
      </c>
      <c r="N36" s="60"/>
      <c r="O36" s="60">
        <f>SUM(O32:O35)</f>
        <v>13845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</row>
    <row r="37" spans="1:31" x14ac:dyDescent="0.25">
      <c r="A37" s="51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</row>
    <row r="38" spans="1:31" x14ac:dyDescent="0.25">
      <c r="A38" s="6" t="s">
        <v>72</v>
      </c>
      <c r="B38" s="12"/>
      <c r="C38" s="12"/>
      <c r="D38" s="12"/>
      <c r="E38" s="12"/>
      <c r="F38" s="12"/>
      <c r="G38" s="12"/>
      <c r="H38" s="13"/>
      <c r="I38" s="13"/>
      <c r="J38" s="13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</row>
    <row r="39" spans="1:31" x14ac:dyDescent="0.25">
      <c r="A39" s="7"/>
      <c r="B39" s="16"/>
      <c r="C39" s="14"/>
      <c r="D39" s="15"/>
      <c r="E39" s="14"/>
      <c r="F39" s="14"/>
      <c r="G39" s="14"/>
      <c r="H39" s="14"/>
      <c r="I39" s="14"/>
      <c r="J39" s="14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7"/>
      <c r="B40" s="14"/>
      <c r="C40" s="14"/>
      <c r="D40" s="15"/>
      <c r="E40" s="14"/>
      <c r="F40" s="14"/>
      <c r="G40" s="14"/>
      <c r="H40" s="14"/>
      <c r="I40" s="14"/>
      <c r="J40" s="14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</row>
    <row r="41" spans="1:31" x14ac:dyDescent="0.25">
      <c r="A41" s="7"/>
      <c r="B41" s="14"/>
      <c r="C41" s="14"/>
      <c r="D41" s="15"/>
      <c r="E41" s="14"/>
      <c r="F41" s="14"/>
      <c r="G41" s="14"/>
      <c r="H41" s="14"/>
      <c r="I41" s="14"/>
      <c r="J41" s="14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</row>
    <row r="42" spans="1:31" x14ac:dyDescent="0.25">
      <c r="A42" s="7"/>
      <c r="B42" s="16"/>
      <c r="C42" s="14"/>
      <c r="D42" s="15"/>
      <c r="E42" s="14"/>
      <c r="F42" s="14"/>
      <c r="G42" s="14"/>
      <c r="H42" s="14"/>
      <c r="I42" s="14"/>
      <c r="J42" s="14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51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</row>
    <row r="45" spans="1:31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</row>
    <row r="46" spans="1:31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</row>
    <row r="47" spans="1:31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</row>
    <row r="49" spans="1:31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</row>
    <row r="52" spans="1:31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</row>
    <row r="53" spans="1:31" ht="36.75" customHeight="1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</row>
    <row r="54" spans="1:31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</row>
    <row r="55" spans="1:31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</row>
    <row r="56" spans="1:31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</row>
    <row r="57" spans="1:31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</row>
    <row r="58" spans="1:31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</row>
    <row r="59" spans="1:31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</row>
    <row r="60" spans="1:31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</row>
    <row r="61" spans="1:31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</row>
    <row r="62" spans="1:31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</row>
    <row r="63" spans="1:31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</row>
    <row r="64" spans="1:31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</row>
    <row r="65" spans="1:19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</row>
    <row r="66" spans="1:19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</row>
    <row r="67" spans="1:19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</row>
    <row r="68" spans="1:19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</row>
    <row r="69" spans="1:19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</row>
    <row r="70" spans="1:19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</row>
    <row r="71" spans="1:19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</row>
    <row r="72" spans="1:19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</row>
    <row r="73" spans="1:19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</row>
    <row r="74" spans="1:19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</row>
    <row r="75" spans="1:19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</row>
    <row r="76" spans="1:19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</row>
    <row r="77" spans="1:19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</row>
    <row r="78" spans="1:19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</row>
    <row r="79" spans="1:19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</row>
    <row r="80" spans="1:19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</row>
    <row r="81" spans="1:19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</row>
    <row r="82" spans="1:19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</row>
    <row r="83" spans="1:19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</row>
    <row r="84" spans="1:19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</row>
    <row r="85" spans="1:19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</row>
    <row r="86" spans="1:19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</row>
    <row r="87" spans="1:19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</row>
  </sheetData>
  <mergeCells count="12">
    <mergeCell ref="N30:O30"/>
    <mergeCell ref="A3:A5"/>
    <mergeCell ref="B3:B5"/>
    <mergeCell ref="C3:C5"/>
    <mergeCell ref="D3:F3"/>
    <mergeCell ref="G3:G5"/>
    <mergeCell ref="D4:F4"/>
    <mergeCell ref="D30:E30"/>
    <mergeCell ref="F30:G30"/>
    <mergeCell ref="H30:I30"/>
    <mergeCell ref="J30:K30"/>
    <mergeCell ref="L30:M3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57A59-7753-4847-B815-7BC9008473FB}">
  <dimension ref="A1:M60"/>
  <sheetViews>
    <sheetView workbookViewId="0">
      <selection activeCell="A3" sqref="A3:L57"/>
    </sheetView>
  </sheetViews>
  <sheetFormatPr defaultRowHeight="15" x14ac:dyDescent="0.25"/>
  <cols>
    <col min="1" max="1" width="4.7109375" customWidth="1"/>
    <col min="2" max="2" width="25.85546875" customWidth="1"/>
    <col min="3" max="3" width="9.5703125" customWidth="1"/>
    <col min="4" max="4" width="13.42578125" customWidth="1"/>
    <col min="5" max="5" width="9.5703125" customWidth="1"/>
    <col min="12" max="12" width="11.5703125" customWidth="1"/>
  </cols>
  <sheetData>
    <row r="1" spans="1:12" ht="15.75" x14ac:dyDescent="0.25">
      <c r="A1" s="1" t="s">
        <v>553</v>
      </c>
      <c r="B1" s="26"/>
    </row>
    <row r="2" spans="1:12" x14ac:dyDescent="0.25">
      <c r="B2" s="26"/>
    </row>
    <row r="3" spans="1:12" ht="25.5" customHeight="1" x14ac:dyDescent="0.25">
      <c r="A3" s="133" t="s">
        <v>0</v>
      </c>
      <c r="B3" s="29" t="s">
        <v>135</v>
      </c>
      <c r="C3" s="169" t="s">
        <v>136</v>
      </c>
      <c r="D3" s="169" t="s">
        <v>137</v>
      </c>
      <c r="E3" s="169" t="s">
        <v>138</v>
      </c>
      <c r="F3" s="169" t="s">
        <v>139</v>
      </c>
      <c r="G3" s="169"/>
      <c r="H3" s="169" t="s">
        <v>140</v>
      </c>
      <c r="I3" s="169"/>
      <c r="J3" s="169" t="s">
        <v>165</v>
      </c>
      <c r="K3" s="169"/>
      <c r="L3" s="169" t="s">
        <v>141</v>
      </c>
    </row>
    <row r="4" spans="1:12" x14ac:dyDescent="0.25">
      <c r="A4" s="133"/>
      <c r="B4" s="169" t="s">
        <v>142</v>
      </c>
      <c r="C4" s="169"/>
      <c r="D4" s="169"/>
      <c r="E4" s="169"/>
      <c r="F4" s="171" t="s">
        <v>143</v>
      </c>
      <c r="G4" s="172" t="s">
        <v>144</v>
      </c>
      <c r="H4" s="171" t="s">
        <v>143</v>
      </c>
      <c r="I4" s="172" t="s">
        <v>144</v>
      </c>
      <c r="J4" s="171" t="s">
        <v>143</v>
      </c>
      <c r="K4" s="172" t="s">
        <v>144</v>
      </c>
      <c r="L4" s="169"/>
    </row>
    <row r="5" spans="1:12" x14ac:dyDescent="0.25">
      <c r="A5" s="133"/>
      <c r="B5" s="169"/>
      <c r="C5" s="169"/>
      <c r="D5" s="169"/>
      <c r="E5" s="169"/>
      <c r="F5" s="171"/>
      <c r="G5" s="172"/>
      <c r="H5" s="171"/>
      <c r="I5" s="172"/>
      <c r="J5" s="171"/>
      <c r="K5" s="172"/>
      <c r="L5" s="169"/>
    </row>
    <row r="6" spans="1:12" x14ac:dyDescent="0.25">
      <c r="A6" s="30" t="s">
        <v>34</v>
      </c>
      <c r="B6" s="30" t="s">
        <v>35</v>
      </c>
      <c r="C6" s="30" t="s">
        <v>36</v>
      </c>
      <c r="D6" s="30" t="s">
        <v>37</v>
      </c>
      <c r="E6" s="31" t="s">
        <v>38</v>
      </c>
      <c r="F6" s="32" t="s">
        <v>39</v>
      </c>
      <c r="G6" s="31" t="s">
        <v>40</v>
      </c>
      <c r="H6" s="32" t="s">
        <v>41</v>
      </c>
      <c r="I6" s="30" t="s">
        <v>42</v>
      </c>
      <c r="J6" s="30" t="s">
        <v>43</v>
      </c>
      <c r="K6" s="30" t="s">
        <v>44</v>
      </c>
      <c r="L6" s="30" t="s">
        <v>45</v>
      </c>
    </row>
    <row r="7" spans="1:12" x14ac:dyDescent="0.25">
      <c r="A7" s="33">
        <v>1</v>
      </c>
      <c r="B7" s="28" t="s">
        <v>145</v>
      </c>
      <c r="C7" s="34"/>
      <c r="D7" s="34"/>
      <c r="E7" s="34"/>
      <c r="F7" s="35"/>
      <c r="G7" s="36"/>
      <c r="H7" s="34"/>
      <c r="I7" s="36"/>
      <c r="J7" s="36"/>
      <c r="K7" s="36"/>
      <c r="L7" s="36"/>
    </row>
    <row r="8" spans="1:12" x14ac:dyDescent="0.25">
      <c r="A8" s="33">
        <f>A7+1</f>
        <v>2</v>
      </c>
      <c r="B8" s="28" t="s">
        <v>159</v>
      </c>
      <c r="C8" s="34" t="s">
        <v>158</v>
      </c>
      <c r="D8" s="34" t="s">
        <v>156</v>
      </c>
      <c r="E8" s="34">
        <v>30</v>
      </c>
      <c r="F8" s="173" t="s">
        <v>157</v>
      </c>
      <c r="G8" s="173"/>
      <c r="H8" s="173"/>
      <c r="I8" s="173"/>
      <c r="J8" s="173"/>
      <c r="K8" s="173"/>
      <c r="L8" s="173"/>
    </row>
    <row r="9" spans="1:12" x14ac:dyDescent="0.25">
      <c r="A9" s="33">
        <f t="shared" ref="A9:A57" si="0">A8+1</f>
        <v>3</v>
      </c>
      <c r="B9" s="28" t="s">
        <v>217</v>
      </c>
      <c r="C9" s="34" t="s">
        <v>175</v>
      </c>
      <c r="D9" s="34" t="s">
        <v>176</v>
      </c>
      <c r="E9" s="34">
        <v>889</v>
      </c>
      <c r="F9" s="35">
        <v>0.47</v>
      </c>
      <c r="G9" s="36">
        <f>E9*F9</f>
        <v>417.83</v>
      </c>
      <c r="H9" s="34">
        <v>1.03</v>
      </c>
      <c r="I9" s="36">
        <f>E9*H9</f>
        <v>915.67000000000007</v>
      </c>
      <c r="J9" s="40">
        <v>0.64</v>
      </c>
      <c r="K9" s="36">
        <f>E9*J9</f>
        <v>568.96</v>
      </c>
      <c r="L9" s="36">
        <f>+E9*5</f>
        <v>4445</v>
      </c>
    </row>
    <row r="10" spans="1:12" x14ac:dyDescent="0.25">
      <c r="A10" s="33">
        <f t="shared" si="0"/>
        <v>4</v>
      </c>
      <c r="B10" s="28" t="s">
        <v>216</v>
      </c>
      <c r="C10" s="34" t="s">
        <v>178</v>
      </c>
      <c r="D10" s="34" t="s">
        <v>179</v>
      </c>
      <c r="E10" s="34">
        <v>32</v>
      </c>
      <c r="F10" s="35">
        <v>0.72</v>
      </c>
      <c r="G10" s="36">
        <f>E10*F10</f>
        <v>23.04</v>
      </c>
      <c r="H10" s="34">
        <v>1.53</v>
      </c>
      <c r="I10" s="36">
        <f>E10*H10</f>
        <v>48.96</v>
      </c>
      <c r="J10" s="40">
        <v>1.25</v>
      </c>
      <c r="K10" s="36">
        <f>E10*J10</f>
        <v>40</v>
      </c>
      <c r="L10" s="36">
        <f>+E10*7.5</f>
        <v>240</v>
      </c>
    </row>
    <row r="11" spans="1:12" x14ac:dyDescent="0.25">
      <c r="A11" s="33">
        <f t="shared" si="0"/>
        <v>5</v>
      </c>
      <c r="B11" s="28" t="s">
        <v>217</v>
      </c>
      <c r="C11" s="34" t="s">
        <v>175</v>
      </c>
      <c r="D11" s="34" t="s">
        <v>177</v>
      </c>
      <c r="E11" s="34">
        <v>184</v>
      </c>
      <c r="F11" s="35">
        <v>0.47</v>
      </c>
      <c r="G11" s="36">
        <f>E11*F11</f>
        <v>86.47999999999999</v>
      </c>
      <c r="H11" s="34">
        <v>1.03</v>
      </c>
      <c r="I11" s="36">
        <f>E11*H11</f>
        <v>189.52</v>
      </c>
      <c r="J11" s="40">
        <v>0.64</v>
      </c>
      <c r="K11" s="36">
        <f>E11*J11</f>
        <v>117.76</v>
      </c>
      <c r="L11" s="36">
        <f>+E11*5</f>
        <v>920</v>
      </c>
    </row>
    <row r="12" spans="1:12" x14ac:dyDescent="0.25">
      <c r="A12" s="33">
        <f t="shared" si="0"/>
        <v>6</v>
      </c>
      <c r="B12" s="44" t="s">
        <v>154</v>
      </c>
      <c r="C12" s="45"/>
      <c r="D12" s="45"/>
      <c r="E12" s="45">
        <f>SUM(E8:E11)</f>
        <v>1135</v>
      </c>
      <c r="F12" s="46"/>
      <c r="G12" s="47">
        <f>SUM(G8:G11)</f>
        <v>527.35</v>
      </c>
      <c r="H12" s="47"/>
      <c r="I12" s="47">
        <f>SUM(I8:I11)</f>
        <v>1154.1500000000001</v>
      </c>
      <c r="J12" s="47"/>
      <c r="K12" s="47">
        <f>SUM(K8:K11)</f>
        <v>726.72</v>
      </c>
      <c r="L12" s="45">
        <f>SUM(L8:L11)</f>
        <v>5605</v>
      </c>
    </row>
    <row r="13" spans="1:12" x14ac:dyDescent="0.25">
      <c r="A13" s="33">
        <f t="shared" si="0"/>
        <v>7</v>
      </c>
      <c r="B13" s="28" t="s">
        <v>146</v>
      </c>
      <c r="C13" s="37"/>
      <c r="D13" s="37"/>
      <c r="E13" s="37"/>
      <c r="F13" s="38"/>
      <c r="G13" s="39"/>
      <c r="H13" s="37"/>
      <c r="I13" s="39"/>
      <c r="J13" s="39"/>
      <c r="K13" s="39"/>
      <c r="L13" s="39"/>
    </row>
    <row r="14" spans="1:12" x14ac:dyDescent="0.25">
      <c r="A14" s="33">
        <f t="shared" si="0"/>
        <v>8</v>
      </c>
      <c r="B14" s="28" t="s">
        <v>159</v>
      </c>
      <c r="C14" s="34" t="s">
        <v>158</v>
      </c>
      <c r="D14" s="34" t="s">
        <v>156</v>
      </c>
      <c r="E14" s="34">
        <v>30</v>
      </c>
      <c r="F14" s="173" t="s">
        <v>157</v>
      </c>
      <c r="G14" s="173"/>
      <c r="H14" s="173"/>
      <c r="I14" s="173"/>
      <c r="J14" s="173"/>
      <c r="K14" s="173"/>
      <c r="L14" s="173"/>
    </row>
    <row r="15" spans="1:12" x14ac:dyDescent="0.25">
      <c r="A15" s="33">
        <f t="shared" si="0"/>
        <v>9</v>
      </c>
      <c r="B15" s="28" t="s">
        <v>215</v>
      </c>
      <c r="C15" s="34" t="s">
        <v>180</v>
      </c>
      <c r="D15" s="34" t="s">
        <v>181</v>
      </c>
      <c r="E15" s="34">
        <v>289</v>
      </c>
      <c r="F15" s="35">
        <v>0.42</v>
      </c>
      <c r="G15" s="36">
        <f>E15*F15</f>
        <v>121.38</v>
      </c>
      <c r="H15" s="34">
        <v>0.93</v>
      </c>
      <c r="I15" s="36">
        <f>E15*H15</f>
        <v>268.77000000000004</v>
      </c>
      <c r="J15" s="40"/>
      <c r="K15" s="36"/>
      <c r="L15" s="36">
        <f>+E15*5</f>
        <v>1445</v>
      </c>
    </row>
    <row r="16" spans="1:12" x14ac:dyDescent="0.25">
      <c r="A16" s="33">
        <f t="shared" si="0"/>
        <v>10</v>
      </c>
      <c r="B16" s="28" t="s">
        <v>216</v>
      </c>
      <c r="C16" s="34" t="s">
        <v>182</v>
      </c>
      <c r="D16" s="34" t="s">
        <v>183</v>
      </c>
      <c r="E16" s="34">
        <v>58</v>
      </c>
      <c r="F16" s="35">
        <v>0.72</v>
      </c>
      <c r="G16" s="36">
        <f t="shared" ref="G16:G31" si="1">E16*F16</f>
        <v>41.76</v>
      </c>
      <c r="H16" s="34">
        <v>1.53</v>
      </c>
      <c r="I16" s="36">
        <f t="shared" ref="I16:I31" si="2">E16*H16</f>
        <v>88.74</v>
      </c>
      <c r="J16" s="40">
        <v>1.19</v>
      </c>
      <c r="K16" s="36">
        <f t="shared" ref="K16:K31" si="3">E16*J16</f>
        <v>69.02</v>
      </c>
      <c r="L16" s="36">
        <f>+E16*7</f>
        <v>406</v>
      </c>
    </row>
    <row r="17" spans="1:13" x14ac:dyDescent="0.25">
      <c r="A17" s="33">
        <f t="shared" si="0"/>
        <v>11</v>
      </c>
      <c r="B17" s="28" t="s">
        <v>217</v>
      </c>
      <c r="C17" s="34" t="s">
        <v>184</v>
      </c>
      <c r="D17" s="34" t="s">
        <v>185</v>
      </c>
      <c r="E17" s="34">
        <v>58</v>
      </c>
      <c r="F17" s="35">
        <v>0.47</v>
      </c>
      <c r="G17" s="36">
        <f t="shared" si="1"/>
        <v>27.259999999999998</v>
      </c>
      <c r="H17" s="34">
        <v>1.03</v>
      </c>
      <c r="I17" s="36">
        <f t="shared" si="2"/>
        <v>59.74</v>
      </c>
      <c r="J17" s="40">
        <v>0.54</v>
      </c>
      <c r="K17" s="36">
        <f t="shared" si="3"/>
        <v>31.32</v>
      </c>
      <c r="L17" s="36">
        <f>+E17*5</f>
        <v>290</v>
      </c>
    </row>
    <row r="18" spans="1:13" x14ac:dyDescent="0.25">
      <c r="A18" s="33">
        <f t="shared" si="0"/>
        <v>12</v>
      </c>
      <c r="B18" s="28" t="s">
        <v>218</v>
      </c>
      <c r="C18" s="34" t="s">
        <v>186</v>
      </c>
      <c r="D18" s="34" t="s">
        <v>187</v>
      </c>
      <c r="E18" s="34">
        <v>74</v>
      </c>
      <c r="F18" s="35">
        <v>0.63</v>
      </c>
      <c r="G18" s="36">
        <f t="shared" si="1"/>
        <v>46.62</v>
      </c>
      <c r="H18" s="34">
        <v>1.36</v>
      </c>
      <c r="I18" s="36">
        <f t="shared" si="2"/>
        <v>100.64</v>
      </c>
      <c r="J18" s="40">
        <v>0.97</v>
      </c>
      <c r="K18" s="36">
        <f t="shared" si="3"/>
        <v>71.78</v>
      </c>
      <c r="L18" s="36">
        <f>+E18*7</f>
        <v>518</v>
      </c>
    </row>
    <row r="19" spans="1:13" x14ac:dyDescent="0.25">
      <c r="A19" s="33">
        <f t="shared" si="0"/>
        <v>13</v>
      </c>
      <c r="B19" s="28" t="s">
        <v>217</v>
      </c>
      <c r="C19" s="34" t="s">
        <v>184</v>
      </c>
      <c r="D19" s="34" t="s">
        <v>188</v>
      </c>
      <c r="E19" s="34">
        <v>491</v>
      </c>
      <c r="F19" s="35">
        <v>0.47</v>
      </c>
      <c r="G19" s="36">
        <f t="shared" ref="G19" si="4">E19*F19</f>
        <v>230.76999999999998</v>
      </c>
      <c r="H19" s="34">
        <v>1.03</v>
      </c>
      <c r="I19" s="36">
        <f t="shared" ref="I19" si="5">E19*H19</f>
        <v>505.73</v>
      </c>
      <c r="J19" s="40">
        <v>0.54</v>
      </c>
      <c r="K19" s="36">
        <f t="shared" ref="K19" si="6">E19*J19</f>
        <v>265.14000000000004</v>
      </c>
      <c r="L19" s="36">
        <f t="shared" ref="L19" si="7">+E19*5</f>
        <v>2455</v>
      </c>
    </row>
    <row r="20" spans="1:13" x14ac:dyDescent="0.25">
      <c r="A20" s="33">
        <f t="shared" si="0"/>
        <v>14</v>
      </c>
      <c r="B20" s="28" t="s">
        <v>219</v>
      </c>
      <c r="C20" s="34" t="s">
        <v>189</v>
      </c>
      <c r="D20" s="34" t="s">
        <v>190</v>
      </c>
      <c r="E20" s="34">
        <v>66</v>
      </c>
      <c r="F20" s="35">
        <v>0.6</v>
      </c>
      <c r="G20" s="36">
        <f t="shared" si="1"/>
        <v>39.6</v>
      </c>
      <c r="H20" s="34">
        <v>1.28</v>
      </c>
      <c r="I20" s="36">
        <f t="shared" si="2"/>
        <v>84.48</v>
      </c>
      <c r="J20" s="40">
        <v>0.79</v>
      </c>
      <c r="K20" s="36">
        <f t="shared" si="3"/>
        <v>52.14</v>
      </c>
      <c r="L20" s="36">
        <f>+E20*6.5</f>
        <v>429</v>
      </c>
    </row>
    <row r="21" spans="1:13" x14ac:dyDescent="0.25">
      <c r="A21" s="33">
        <f t="shared" si="0"/>
        <v>15</v>
      </c>
      <c r="B21" s="28" t="s">
        <v>217</v>
      </c>
      <c r="C21" s="34" t="s">
        <v>184</v>
      </c>
      <c r="D21" s="34" t="s">
        <v>191</v>
      </c>
      <c r="E21" s="34">
        <v>58</v>
      </c>
      <c r="F21" s="35">
        <v>0.47</v>
      </c>
      <c r="G21" s="36">
        <f t="shared" ref="G21:G22" si="8">E21*F21</f>
        <v>27.259999999999998</v>
      </c>
      <c r="H21" s="34">
        <v>1.03</v>
      </c>
      <c r="I21" s="36">
        <f t="shared" ref="I21:I22" si="9">E21*H21</f>
        <v>59.74</v>
      </c>
      <c r="J21" s="40">
        <v>0.54</v>
      </c>
      <c r="K21" s="36">
        <f t="shared" ref="K21:K22" si="10">E21*J21</f>
        <v>31.32</v>
      </c>
      <c r="L21" s="36">
        <f>+E21*5</f>
        <v>290</v>
      </c>
    </row>
    <row r="22" spans="1:13" x14ac:dyDescent="0.25">
      <c r="A22" s="33">
        <f t="shared" si="0"/>
        <v>16</v>
      </c>
      <c r="B22" s="28" t="s">
        <v>219</v>
      </c>
      <c r="C22" s="34" t="s">
        <v>189</v>
      </c>
      <c r="D22" s="34" t="s">
        <v>192</v>
      </c>
      <c r="E22" s="34">
        <v>64</v>
      </c>
      <c r="F22" s="35">
        <v>0.6</v>
      </c>
      <c r="G22" s="36">
        <f t="shared" si="8"/>
        <v>38.4</v>
      </c>
      <c r="H22" s="34">
        <v>1.28</v>
      </c>
      <c r="I22" s="36">
        <f t="shared" si="9"/>
        <v>81.92</v>
      </c>
      <c r="J22" s="40">
        <v>0.79</v>
      </c>
      <c r="K22" s="36">
        <f t="shared" si="10"/>
        <v>50.56</v>
      </c>
      <c r="L22" s="36">
        <f>+E22*6.5</f>
        <v>416</v>
      </c>
    </row>
    <row r="23" spans="1:13" x14ac:dyDescent="0.25">
      <c r="A23" s="33">
        <f t="shared" si="0"/>
        <v>17</v>
      </c>
      <c r="B23" s="28" t="s">
        <v>217</v>
      </c>
      <c r="C23" s="34" t="s">
        <v>184</v>
      </c>
      <c r="D23" s="34" t="s">
        <v>193</v>
      </c>
      <c r="E23" s="34">
        <v>228</v>
      </c>
      <c r="F23" s="35">
        <v>0.47</v>
      </c>
      <c r="G23" s="36">
        <f t="shared" ref="G23" si="11">E23*F23</f>
        <v>107.16</v>
      </c>
      <c r="H23" s="34">
        <v>1.03</v>
      </c>
      <c r="I23" s="36">
        <f t="shared" ref="I23" si="12">E23*H23</f>
        <v>234.84</v>
      </c>
      <c r="J23" s="40">
        <v>0.54</v>
      </c>
      <c r="K23" s="36">
        <f t="shared" ref="K23" si="13">E23*J23</f>
        <v>123.12</v>
      </c>
      <c r="L23" s="36">
        <f t="shared" ref="L23" si="14">+E23*5</f>
        <v>1140</v>
      </c>
    </row>
    <row r="24" spans="1:13" x14ac:dyDescent="0.25">
      <c r="A24" s="33">
        <f t="shared" si="0"/>
        <v>18</v>
      </c>
      <c r="B24" s="28" t="s">
        <v>220</v>
      </c>
      <c r="C24" s="34" t="s">
        <v>194</v>
      </c>
      <c r="D24" s="34" t="s">
        <v>195</v>
      </c>
      <c r="E24" s="34">
        <v>54</v>
      </c>
      <c r="F24" s="35">
        <v>0.55000000000000004</v>
      </c>
      <c r="G24" s="36">
        <f t="shared" si="1"/>
        <v>29.700000000000003</v>
      </c>
      <c r="H24" s="34">
        <v>1.18</v>
      </c>
      <c r="I24" s="36">
        <f t="shared" si="2"/>
        <v>63.72</v>
      </c>
      <c r="J24" s="40">
        <v>0.64</v>
      </c>
      <c r="K24" s="36">
        <f t="shared" si="3"/>
        <v>34.56</v>
      </c>
      <c r="L24" s="36">
        <f>+E24*6</f>
        <v>324</v>
      </c>
    </row>
    <row r="25" spans="1:13" x14ac:dyDescent="0.25">
      <c r="A25" s="33">
        <f t="shared" si="0"/>
        <v>19</v>
      </c>
      <c r="B25" s="28" t="s">
        <v>217</v>
      </c>
      <c r="C25" s="34" t="s">
        <v>184</v>
      </c>
      <c r="D25" s="34" t="s">
        <v>196</v>
      </c>
      <c r="E25" s="34">
        <v>50</v>
      </c>
      <c r="F25" s="35">
        <v>0.47</v>
      </c>
      <c r="G25" s="36">
        <f t="shared" ref="G25" si="15">E25*F25</f>
        <v>23.5</v>
      </c>
      <c r="H25" s="34">
        <v>1.03</v>
      </c>
      <c r="I25" s="36">
        <f t="shared" ref="I25" si="16">E25*H25</f>
        <v>51.5</v>
      </c>
      <c r="J25" s="40">
        <v>0.54</v>
      </c>
      <c r="K25" s="36">
        <f t="shared" ref="K25" si="17">E25*J25</f>
        <v>27</v>
      </c>
      <c r="L25" s="36">
        <f>+E25*5</f>
        <v>250</v>
      </c>
    </row>
    <row r="26" spans="1:13" x14ac:dyDescent="0.25">
      <c r="A26" s="33">
        <f t="shared" si="0"/>
        <v>20</v>
      </c>
      <c r="B26" s="28" t="s">
        <v>220</v>
      </c>
      <c r="C26" s="34" t="s">
        <v>197</v>
      </c>
      <c r="D26" s="34" t="s">
        <v>198</v>
      </c>
      <c r="E26" s="34">
        <v>36</v>
      </c>
      <c r="F26" s="35">
        <v>0.55000000000000004</v>
      </c>
      <c r="G26" s="36">
        <f t="shared" si="1"/>
        <v>19.8</v>
      </c>
      <c r="H26" s="34">
        <v>1.18</v>
      </c>
      <c r="I26" s="36">
        <f t="shared" si="2"/>
        <v>42.48</v>
      </c>
      <c r="J26" s="40">
        <v>0.64</v>
      </c>
      <c r="K26" s="36">
        <f t="shared" si="3"/>
        <v>23.04</v>
      </c>
      <c r="L26" s="36">
        <f>+E26*6</f>
        <v>216</v>
      </c>
    </row>
    <row r="27" spans="1:13" x14ac:dyDescent="0.25">
      <c r="A27" s="33">
        <f t="shared" si="0"/>
        <v>21</v>
      </c>
      <c r="B27" s="28" t="s">
        <v>217</v>
      </c>
      <c r="C27" s="34" t="s">
        <v>184</v>
      </c>
      <c r="D27" s="34" t="s">
        <v>199</v>
      </c>
      <c r="E27" s="34">
        <v>48</v>
      </c>
      <c r="F27" s="35">
        <v>0.47</v>
      </c>
      <c r="G27" s="36">
        <f t="shared" ref="G27" si="18">E27*F27</f>
        <v>22.56</v>
      </c>
      <c r="H27" s="34">
        <v>1.03</v>
      </c>
      <c r="I27" s="36">
        <f t="shared" ref="I27" si="19">E27*H27</f>
        <v>49.44</v>
      </c>
      <c r="J27" s="40">
        <v>0.54</v>
      </c>
      <c r="K27" s="36">
        <f t="shared" ref="K27" si="20">E27*J27</f>
        <v>25.92</v>
      </c>
      <c r="L27" s="36">
        <f>+E27*5</f>
        <v>240</v>
      </c>
    </row>
    <row r="28" spans="1:13" x14ac:dyDescent="0.25">
      <c r="A28" s="33">
        <f t="shared" si="0"/>
        <v>22</v>
      </c>
      <c r="B28" s="28" t="s">
        <v>216</v>
      </c>
      <c r="C28" s="34" t="s">
        <v>201</v>
      </c>
      <c r="D28" s="34" t="s">
        <v>200</v>
      </c>
      <c r="E28" s="34">
        <v>40</v>
      </c>
      <c r="F28" s="35">
        <v>0.72</v>
      </c>
      <c r="G28" s="36">
        <f t="shared" si="1"/>
        <v>28.799999999999997</v>
      </c>
      <c r="H28" s="34">
        <v>1.53</v>
      </c>
      <c r="I28" s="36">
        <f t="shared" si="2"/>
        <v>61.2</v>
      </c>
      <c r="J28" s="40">
        <v>1.19</v>
      </c>
      <c r="K28" s="36">
        <f t="shared" si="3"/>
        <v>47.599999999999994</v>
      </c>
      <c r="L28" s="36">
        <f>+E28*7</f>
        <v>280</v>
      </c>
    </row>
    <row r="29" spans="1:13" x14ac:dyDescent="0.25">
      <c r="A29" s="33">
        <f t="shared" si="0"/>
        <v>23</v>
      </c>
      <c r="B29" s="28" t="s">
        <v>217</v>
      </c>
      <c r="C29" s="34" t="s">
        <v>184</v>
      </c>
      <c r="D29" s="34" t="s">
        <v>202</v>
      </c>
      <c r="E29" s="34">
        <v>701</v>
      </c>
      <c r="F29" s="35">
        <v>0.47</v>
      </c>
      <c r="G29" s="36">
        <f t="shared" ref="G29" si="21">E29*F29</f>
        <v>329.46999999999997</v>
      </c>
      <c r="H29" s="34">
        <v>1.03</v>
      </c>
      <c r="I29" s="36">
        <f t="shared" ref="I29" si="22">E29*H29</f>
        <v>722.03</v>
      </c>
      <c r="J29" s="40">
        <v>0.54</v>
      </c>
      <c r="K29" s="36">
        <f t="shared" ref="K29" si="23">E29*J29</f>
        <v>378.54</v>
      </c>
      <c r="L29" s="36">
        <f t="shared" ref="L29" si="24">+E29*5</f>
        <v>3505</v>
      </c>
    </row>
    <row r="30" spans="1:13" x14ac:dyDescent="0.25">
      <c r="A30" s="33">
        <f t="shared" si="0"/>
        <v>24</v>
      </c>
      <c r="B30" s="28" t="s">
        <v>221</v>
      </c>
      <c r="C30" s="34" t="s">
        <v>203</v>
      </c>
      <c r="D30" s="34" t="s">
        <v>205</v>
      </c>
      <c r="E30" s="34">
        <v>24</v>
      </c>
      <c r="F30" s="35">
        <v>0.67</v>
      </c>
      <c r="G30" s="36">
        <f t="shared" si="1"/>
        <v>16.080000000000002</v>
      </c>
      <c r="H30" s="34">
        <v>1.43</v>
      </c>
      <c r="I30" s="36">
        <f t="shared" si="2"/>
        <v>34.32</v>
      </c>
      <c r="J30" s="40">
        <v>1.04</v>
      </c>
      <c r="K30" s="36">
        <f t="shared" si="3"/>
        <v>24.96</v>
      </c>
      <c r="L30" s="36">
        <f>+E30*7</f>
        <v>168</v>
      </c>
    </row>
    <row r="31" spans="1:13" x14ac:dyDescent="0.25">
      <c r="A31" s="33">
        <f t="shared" si="0"/>
        <v>25</v>
      </c>
      <c r="B31" s="28" t="s">
        <v>221</v>
      </c>
      <c r="C31" s="34" t="s">
        <v>204</v>
      </c>
      <c r="D31" s="34" t="s">
        <v>206</v>
      </c>
      <c r="E31" s="34">
        <v>18</v>
      </c>
      <c r="F31" s="35">
        <v>0.67</v>
      </c>
      <c r="G31" s="36">
        <f t="shared" si="1"/>
        <v>12.06</v>
      </c>
      <c r="H31" s="34">
        <v>1.43</v>
      </c>
      <c r="I31" s="36">
        <f t="shared" si="2"/>
        <v>25.74</v>
      </c>
      <c r="J31" s="40">
        <v>1.04</v>
      </c>
      <c r="K31" s="36">
        <f t="shared" si="3"/>
        <v>18.72</v>
      </c>
      <c r="L31" s="36">
        <f>+E31*7</f>
        <v>126</v>
      </c>
      <c r="M31" s="50"/>
    </row>
    <row r="32" spans="1:13" x14ac:dyDescent="0.25">
      <c r="A32" s="33">
        <f t="shared" si="0"/>
        <v>26</v>
      </c>
      <c r="B32" s="28" t="s">
        <v>217</v>
      </c>
      <c r="C32" s="34" t="s">
        <v>184</v>
      </c>
      <c r="D32" s="34" t="s">
        <v>207</v>
      </c>
      <c r="E32" s="34">
        <v>1030</v>
      </c>
      <c r="F32" s="35">
        <v>0.47</v>
      </c>
      <c r="G32" s="36">
        <f t="shared" ref="G32" si="25">E32*F32</f>
        <v>484.09999999999997</v>
      </c>
      <c r="H32" s="34">
        <v>1.03</v>
      </c>
      <c r="I32" s="36">
        <f t="shared" ref="I32" si="26">E32*H32</f>
        <v>1060.9000000000001</v>
      </c>
      <c r="J32" s="40">
        <v>0.54</v>
      </c>
      <c r="K32" s="36">
        <f t="shared" ref="K32" si="27">E32*J32</f>
        <v>556.20000000000005</v>
      </c>
      <c r="L32" s="36">
        <f>+E32*5</f>
        <v>5150</v>
      </c>
    </row>
    <row r="33" spans="1:12" x14ac:dyDescent="0.25">
      <c r="A33" s="33">
        <f t="shared" si="0"/>
        <v>27</v>
      </c>
      <c r="B33" s="28" t="s">
        <v>216</v>
      </c>
      <c r="C33" s="34" t="s">
        <v>182</v>
      </c>
      <c r="D33" s="34" t="s">
        <v>208</v>
      </c>
      <c r="E33" s="34">
        <v>42</v>
      </c>
      <c r="F33" s="35">
        <v>0.72</v>
      </c>
      <c r="G33" s="36">
        <f t="shared" ref="G33:G34" si="28">E33*F33</f>
        <v>30.24</v>
      </c>
      <c r="H33" s="34">
        <v>1.53</v>
      </c>
      <c r="I33" s="36">
        <f t="shared" ref="I33:I34" si="29">E33*H33</f>
        <v>64.260000000000005</v>
      </c>
      <c r="J33" s="40">
        <v>1.19</v>
      </c>
      <c r="K33" s="36">
        <f t="shared" ref="K33:K34" si="30">E33*J33</f>
        <v>49.98</v>
      </c>
      <c r="L33" s="36">
        <f>+E33*7</f>
        <v>294</v>
      </c>
    </row>
    <row r="34" spans="1:12" x14ac:dyDescent="0.25">
      <c r="A34" s="33">
        <f t="shared" si="0"/>
        <v>28</v>
      </c>
      <c r="B34" s="28" t="s">
        <v>217</v>
      </c>
      <c r="C34" s="34" t="s">
        <v>184</v>
      </c>
      <c r="D34" s="34" t="s">
        <v>209</v>
      </c>
      <c r="E34" s="34">
        <v>417</v>
      </c>
      <c r="F34" s="35">
        <v>0.47</v>
      </c>
      <c r="G34" s="36">
        <f t="shared" si="28"/>
        <v>195.98999999999998</v>
      </c>
      <c r="H34" s="34">
        <v>1.03</v>
      </c>
      <c r="I34" s="36">
        <f t="shared" si="29"/>
        <v>429.51</v>
      </c>
      <c r="J34" s="40">
        <v>0.54</v>
      </c>
      <c r="K34" s="36">
        <f t="shared" si="30"/>
        <v>225.18</v>
      </c>
      <c r="L34" s="36">
        <f>+E34*5</f>
        <v>2085</v>
      </c>
    </row>
    <row r="35" spans="1:12" x14ac:dyDescent="0.25">
      <c r="A35" s="33">
        <f t="shared" si="0"/>
        <v>29</v>
      </c>
      <c r="B35" s="28" t="s">
        <v>218</v>
      </c>
      <c r="C35" s="34" t="s">
        <v>186</v>
      </c>
      <c r="D35" s="34" t="s">
        <v>210</v>
      </c>
      <c r="E35" s="34">
        <v>24</v>
      </c>
      <c r="F35" s="35">
        <v>0.63</v>
      </c>
      <c r="G35" s="36">
        <f t="shared" ref="G35:G37" si="31">E35*F35</f>
        <v>15.120000000000001</v>
      </c>
      <c r="H35" s="34">
        <v>1.36</v>
      </c>
      <c r="I35" s="36">
        <f t="shared" ref="I35:I37" si="32">E35*H35</f>
        <v>32.64</v>
      </c>
      <c r="J35" s="40">
        <v>0.97</v>
      </c>
      <c r="K35" s="36">
        <f t="shared" ref="K35:K37" si="33">E35*J35</f>
        <v>23.28</v>
      </c>
      <c r="L35" s="36">
        <f>+E35*7</f>
        <v>168</v>
      </c>
    </row>
    <row r="36" spans="1:12" x14ac:dyDescent="0.25">
      <c r="A36" s="33">
        <f t="shared" si="0"/>
        <v>30</v>
      </c>
      <c r="B36" s="28" t="s">
        <v>217</v>
      </c>
      <c r="C36" s="34" t="s">
        <v>184</v>
      </c>
      <c r="D36" s="34" t="s">
        <v>211</v>
      </c>
      <c r="E36" s="34">
        <v>163</v>
      </c>
      <c r="F36" s="35">
        <v>0.47</v>
      </c>
      <c r="G36" s="36">
        <f t="shared" si="31"/>
        <v>76.61</v>
      </c>
      <c r="H36" s="34">
        <v>1.03</v>
      </c>
      <c r="I36" s="36">
        <f t="shared" si="32"/>
        <v>167.89000000000001</v>
      </c>
      <c r="J36" s="40">
        <v>0.54</v>
      </c>
      <c r="K36" s="36">
        <f t="shared" si="33"/>
        <v>88.02000000000001</v>
      </c>
      <c r="L36" s="36">
        <f>+E36*5</f>
        <v>815</v>
      </c>
    </row>
    <row r="37" spans="1:12" x14ac:dyDescent="0.25">
      <c r="A37" s="33">
        <f t="shared" si="0"/>
        <v>31</v>
      </c>
      <c r="B37" s="28" t="s">
        <v>218</v>
      </c>
      <c r="C37" s="34" t="s">
        <v>186</v>
      </c>
      <c r="D37" s="34" t="s">
        <v>212</v>
      </c>
      <c r="E37" s="34">
        <v>18</v>
      </c>
      <c r="F37" s="35">
        <v>0.63</v>
      </c>
      <c r="G37" s="36">
        <f t="shared" si="31"/>
        <v>11.34</v>
      </c>
      <c r="H37" s="34">
        <v>1.36</v>
      </c>
      <c r="I37" s="36">
        <f t="shared" si="32"/>
        <v>24.48</v>
      </c>
      <c r="J37" s="40">
        <v>0.97</v>
      </c>
      <c r="K37" s="36">
        <f t="shared" si="33"/>
        <v>17.46</v>
      </c>
      <c r="L37" s="36">
        <f>+E37*7</f>
        <v>126</v>
      </c>
    </row>
    <row r="38" spans="1:12" x14ac:dyDescent="0.25">
      <c r="A38" s="33">
        <f t="shared" si="0"/>
        <v>32</v>
      </c>
      <c r="B38" s="28" t="s">
        <v>217</v>
      </c>
      <c r="C38" s="34" t="s">
        <v>184</v>
      </c>
      <c r="D38" s="34" t="s">
        <v>213</v>
      </c>
      <c r="E38" s="34">
        <v>990</v>
      </c>
      <c r="F38" s="35">
        <v>0.47</v>
      </c>
      <c r="G38" s="36">
        <f t="shared" ref="G38" si="34">E38*F38</f>
        <v>465.29999999999995</v>
      </c>
      <c r="H38" s="34">
        <v>1.03</v>
      </c>
      <c r="I38" s="36">
        <f t="shared" ref="I38" si="35">E38*H38</f>
        <v>1019.7</v>
      </c>
      <c r="J38" s="40">
        <v>0.54</v>
      </c>
      <c r="K38" s="36">
        <f t="shared" ref="K38" si="36">E38*J38</f>
        <v>534.6</v>
      </c>
      <c r="L38" s="36">
        <f>+E38*5</f>
        <v>4950</v>
      </c>
    </row>
    <row r="39" spans="1:12" x14ac:dyDescent="0.25">
      <c r="A39" s="33">
        <f t="shared" si="0"/>
        <v>33</v>
      </c>
      <c r="B39" s="28" t="s">
        <v>159</v>
      </c>
      <c r="C39" s="34" t="s">
        <v>158</v>
      </c>
      <c r="D39" s="34" t="s">
        <v>214</v>
      </c>
      <c r="E39" s="34">
        <v>30</v>
      </c>
      <c r="F39" s="173" t="s">
        <v>157</v>
      </c>
      <c r="G39" s="173"/>
      <c r="H39" s="173"/>
      <c r="I39" s="173"/>
      <c r="J39" s="173"/>
      <c r="K39" s="173"/>
      <c r="L39" s="173"/>
    </row>
    <row r="40" spans="1:12" x14ac:dyDescent="0.25">
      <c r="A40" s="33">
        <f t="shared" si="0"/>
        <v>34</v>
      </c>
      <c r="B40" s="44" t="s">
        <v>154</v>
      </c>
      <c r="C40" s="45"/>
      <c r="D40" s="45"/>
      <c r="E40" s="45">
        <f>SUM(E14:E39)</f>
        <v>5101</v>
      </c>
      <c r="F40" s="46"/>
      <c r="G40" s="47">
        <f>SUM(G14:G39)</f>
        <v>2440.8799999999992</v>
      </c>
      <c r="H40" s="47"/>
      <c r="I40" s="47">
        <f>SUM(I14:I39)</f>
        <v>5334.4100000000008</v>
      </c>
      <c r="J40" s="47"/>
      <c r="K40" s="47">
        <f>SUM(K14:K39)</f>
        <v>2769.46</v>
      </c>
      <c r="L40" s="45">
        <f>SUM(L14:L39)</f>
        <v>26086</v>
      </c>
    </row>
    <row r="41" spans="1:12" x14ac:dyDescent="0.25">
      <c r="A41" s="33">
        <f t="shared" si="0"/>
        <v>35</v>
      </c>
      <c r="B41" s="174" t="s">
        <v>147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</row>
    <row r="42" spans="1:12" x14ac:dyDescent="0.25">
      <c r="A42" s="33">
        <f t="shared" si="0"/>
        <v>36</v>
      </c>
      <c r="B42" s="28" t="s">
        <v>159</v>
      </c>
      <c r="C42" s="34" t="s">
        <v>158</v>
      </c>
      <c r="D42" s="34" t="s">
        <v>156</v>
      </c>
      <c r="E42" s="34">
        <v>30</v>
      </c>
      <c r="F42" s="173" t="s">
        <v>157</v>
      </c>
      <c r="G42" s="173"/>
      <c r="H42" s="173"/>
      <c r="I42" s="173"/>
      <c r="J42" s="173"/>
      <c r="K42" s="173"/>
      <c r="L42" s="173"/>
    </row>
    <row r="43" spans="1:12" x14ac:dyDescent="0.25">
      <c r="A43" s="33">
        <f t="shared" si="0"/>
        <v>37</v>
      </c>
      <c r="B43" s="28" t="s">
        <v>217</v>
      </c>
      <c r="C43" s="34" t="s">
        <v>161</v>
      </c>
      <c r="D43" s="34" t="s">
        <v>160</v>
      </c>
      <c r="E43" s="34">
        <v>325</v>
      </c>
      <c r="F43" s="35">
        <v>0.47</v>
      </c>
      <c r="G43" s="36">
        <f>E43*F43</f>
        <v>152.75</v>
      </c>
      <c r="H43" s="34">
        <v>1.03</v>
      </c>
      <c r="I43" s="36">
        <f>E43*H43</f>
        <v>334.75</v>
      </c>
      <c r="J43" s="40">
        <v>0.62</v>
      </c>
      <c r="K43" s="36">
        <f>E43*J43</f>
        <v>201.5</v>
      </c>
      <c r="L43" s="36">
        <f>+E43*5</f>
        <v>1625</v>
      </c>
    </row>
    <row r="44" spans="1:12" x14ac:dyDescent="0.25">
      <c r="A44" s="33">
        <f t="shared" si="0"/>
        <v>38</v>
      </c>
      <c r="B44" s="28" t="s">
        <v>221</v>
      </c>
      <c r="C44" s="34" t="s">
        <v>162</v>
      </c>
      <c r="D44" s="34" t="s">
        <v>167</v>
      </c>
      <c r="E44" s="34">
        <v>20</v>
      </c>
      <c r="F44" s="35">
        <v>0.67</v>
      </c>
      <c r="G44" s="36">
        <f t="shared" ref="G44:G47" si="37">E44*F44</f>
        <v>13.4</v>
      </c>
      <c r="H44" s="34">
        <v>1.42</v>
      </c>
      <c r="I44" s="36">
        <f t="shared" ref="I44:I47" si="38">E44*H44</f>
        <v>28.4</v>
      </c>
      <c r="J44" s="40">
        <v>1.1499999999999999</v>
      </c>
      <c r="K44" s="36">
        <f t="shared" ref="K44:K48" si="39">E44*J44</f>
        <v>23</v>
      </c>
      <c r="L44" s="36">
        <f>+E44*7</f>
        <v>140</v>
      </c>
    </row>
    <row r="45" spans="1:12" x14ac:dyDescent="0.25">
      <c r="A45" s="33">
        <f t="shared" si="0"/>
        <v>39</v>
      </c>
      <c r="B45" s="28" t="s">
        <v>221</v>
      </c>
      <c r="C45" s="34" t="s">
        <v>163</v>
      </c>
      <c r="D45" s="34" t="s">
        <v>168</v>
      </c>
      <c r="E45" s="34">
        <v>16</v>
      </c>
      <c r="F45" s="35">
        <v>0.67</v>
      </c>
      <c r="G45" s="36">
        <f t="shared" si="37"/>
        <v>10.72</v>
      </c>
      <c r="H45" s="34">
        <v>1.42</v>
      </c>
      <c r="I45" s="36">
        <f t="shared" si="38"/>
        <v>22.72</v>
      </c>
      <c r="J45" s="40">
        <v>1.1499999999999999</v>
      </c>
      <c r="K45" s="36">
        <f t="shared" si="39"/>
        <v>18.399999999999999</v>
      </c>
      <c r="L45" s="36">
        <f>+E45*7</f>
        <v>112</v>
      </c>
    </row>
    <row r="46" spans="1:12" x14ac:dyDescent="0.25">
      <c r="A46" s="33">
        <f t="shared" si="0"/>
        <v>40</v>
      </c>
      <c r="B46" s="28" t="s">
        <v>217</v>
      </c>
      <c r="C46" s="34" t="s">
        <v>164</v>
      </c>
      <c r="D46" s="34" t="s">
        <v>169</v>
      </c>
      <c r="E46" s="34">
        <v>622</v>
      </c>
      <c r="F46" s="35">
        <v>0.47</v>
      </c>
      <c r="G46" s="36">
        <f t="shared" si="37"/>
        <v>292.33999999999997</v>
      </c>
      <c r="H46" s="34">
        <v>1.03</v>
      </c>
      <c r="I46" s="36">
        <f t="shared" si="38"/>
        <v>640.66</v>
      </c>
      <c r="J46" s="40">
        <v>0.66</v>
      </c>
      <c r="K46" s="36">
        <f t="shared" si="39"/>
        <v>410.52000000000004</v>
      </c>
      <c r="L46" s="36">
        <f>+E46*5</f>
        <v>3110</v>
      </c>
    </row>
    <row r="47" spans="1:12" x14ac:dyDescent="0.25">
      <c r="A47" s="33">
        <f t="shared" si="0"/>
        <v>41</v>
      </c>
      <c r="B47" s="28" t="s">
        <v>221</v>
      </c>
      <c r="C47" s="34" t="s">
        <v>162</v>
      </c>
      <c r="D47" s="34" t="s">
        <v>170</v>
      </c>
      <c r="E47" s="34">
        <v>30</v>
      </c>
      <c r="F47" s="35">
        <v>0.67</v>
      </c>
      <c r="G47" s="36">
        <f t="shared" si="37"/>
        <v>20.100000000000001</v>
      </c>
      <c r="H47" s="34">
        <v>1.42</v>
      </c>
      <c r="I47" s="36">
        <f t="shared" si="38"/>
        <v>42.599999999999994</v>
      </c>
      <c r="J47" s="40">
        <v>1.1499999999999999</v>
      </c>
      <c r="K47" s="36">
        <f t="shared" si="39"/>
        <v>34.5</v>
      </c>
      <c r="L47" s="36">
        <f>+E47*7</f>
        <v>210</v>
      </c>
    </row>
    <row r="48" spans="1:12" x14ac:dyDescent="0.25">
      <c r="A48" s="33">
        <f t="shared" si="0"/>
        <v>42</v>
      </c>
      <c r="B48" s="28" t="s">
        <v>217</v>
      </c>
      <c r="C48" s="34" t="s">
        <v>161</v>
      </c>
      <c r="D48" s="34" t="s">
        <v>166</v>
      </c>
      <c r="E48" s="34">
        <v>53</v>
      </c>
      <c r="F48" s="35">
        <v>0.47</v>
      </c>
      <c r="G48" s="36">
        <f>E48*F48</f>
        <v>24.91</v>
      </c>
      <c r="H48" s="34">
        <v>1.03</v>
      </c>
      <c r="I48" s="36">
        <f>E48*H48</f>
        <v>54.59</v>
      </c>
      <c r="J48" s="40">
        <v>0.62</v>
      </c>
      <c r="K48" s="36">
        <f t="shared" si="39"/>
        <v>32.86</v>
      </c>
      <c r="L48" s="36">
        <f>+E48*5</f>
        <v>265</v>
      </c>
    </row>
    <row r="49" spans="1:12" x14ac:dyDescent="0.25">
      <c r="A49" s="33">
        <f t="shared" si="0"/>
        <v>43</v>
      </c>
      <c r="B49" s="28" t="s">
        <v>221</v>
      </c>
      <c r="C49" s="34" t="s">
        <v>162</v>
      </c>
      <c r="D49" s="34" t="s">
        <v>171</v>
      </c>
      <c r="E49" s="34">
        <v>16</v>
      </c>
      <c r="F49" s="35">
        <v>0.67</v>
      </c>
      <c r="G49" s="36">
        <f t="shared" ref="G49" si="40">E49*F49</f>
        <v>10.72</v>
      </c>
      <c r="H49" s="34">
        <v>1.42</v>
      </c>
      <c r="I49" s="36">
        <f t="shared" ref="I49" si="41">E49*H49</f>
        <v>22.72</v>
      </c>
      <c r="J49" s="40">
        <v>1.1499999999999999</v>
      </c>
      <c r="K49" s="36">
        <f t="shared" ref="K49:K51" si="42">E49*J49</f>
        <v>18.399999999999999</v>
      </c>
      <c r="L49" s="36">
        <f>+E49*7</f>
        <v>112</v>
      </c>
    </row>
    <row r="50" spans="1:12" x14ac:dyDescent="0.25">
      <c r="A50" s="33">
        <f t="shared" si="0"/>
        <v>44</v>
      </c>
      <c r="B50" s="28" t="s">
        <v>217</v>
      </c>
      <c r="C50" s="34" t="s">
        <v>161</v>
      </c>
      <c r="D50" s="34" t="s">
        <v>172</v>
      </c>
      <c r="E50" s="34">
        <v>24</v>
      </c>
      <c r="F50" s="35">
        <v>0.47</v>
      </c>
      <c r="G50" s="36">
        <f>E50*F50</f>
        <v>11.28</v>
      </c>
      <c r="H50" s="34">
        <v>1.03</v>
      </c>
      <c r="I50" s="36">
        <f>E50*H50</f>
        <v>24.72</v>
      </c>
      <c r="J50" s="40">
        <v>0.62</v>
      </c>
      <c r="K50" s="36">
        <f t="shared" si="42"/>
        <v>14.879999999999999</v>
      </c>
      <c r="L50" s="36">
        <f>+E50*5</f>
        <v>120</v>
      </c>
    </row>
    <row r="51" spans="1:12" x14ac:dyDescent="0.25">
      <c r="A51" s="33">
        <f t="shared" si="0"/>
        <v>45</v>
      </c>
      <c r="B51" s="28" t="s">
        <v>218</v>
      </c>
      <c r="C51" s="34" t="s">
        <v>173</v>
      </c>
      <c r="D51" s="34" t="s">
        <v>174</v>
      </c>
      <c r="E51" s="34">
        <v>64</v>
      </c>
      <c r="F51" s="35">
        <v>0.64</v>
      </c>
      <c r="G51" s="36">
        <f>E51*F51</f>
        <v>40.96</v>
      </c>
      <c r="H51" s="34">
        <v>1.36</v>
      </c>
      <c r="I51" s="36">
        <f>E51*H51</f>
        <v>87.04</v>
      </c>
      <c r="J51" s="40">
        <v>1.06</v>
      </c>
      <c r="K51" s="36">
        <f t="shared" si="42"/>
        <v>67.84</v>
      </c>
      <c r="L51" s="36">
        <f>+E51*7</f>
        <v>448</v>
      </c>
    </row>
    <row r="52" spans="1:12" x14ac:dyDescent="0.25">
      <c r="A52" s="33">
        <f t="shared" si="0"/>
        <v>46</v>
      </c>
      <c r="B52" s="44" t="s">
        <v>154</v>
      </c>
      <c r="C52" s="45"/>
      <c r="D52" s="45"/>
      <c r="E52" s="45">
        <f>SUM(E42:E51)</f>
        <v>1200</v>
      </c>
      <c r="F52" s="46"/>
      <c r="G52" s="47">
        <f>SUM(G42:G51)</f>
        <v>577.18000000000006</v>
      </c>
      <c r="H52" s="47"/>
      <c r="I52" s="47">
        <f>SUM(I42:I51)</f>
        <v>1258.1999999999998</v>
      </c>
      <c r="J52" s="47"/>
      <c r="K52" s="47">
        <f>SUM(K42:K51)</f>
        <v>821.90000000000009</v>
      </c>
      <c r="L52" s="45">
        <f>SUM(L42:L51)</f>
        <v>6142</v>
      </c>
    </row>
    <row r="53" spans="1:12" x14ac:dyDescent="0.25">
      <c r="A53" s="33">
        <f t="shared" si="0"/>
        <v>47</v>
      </c>
      <c r="B53" s="174" t="s">
        <v>148</v>
      </c>
      <c r="C53" s="174"/>
      <c r="D53" s="174"/>
      <c r="E53" s="174"/>
      <c r="F53" s="174"/>
      <c r="G53" s="174"/>
      <c r="H53" s="174"/>
      <c r="I53" s="174"/>
      <c r="J53" s="174"/>
      <c r="K53" s="174"/>
      <c r="L53" s="174"/>
    </row>
    <row r="54" spans="1:12" x14ac:dyDescent="0.25">
      <c r="A54" s="33">
        <f t="shared" si="0"/>
        <v>48</v>
      </c>
      <c r="B54" s="28" t="s">
        <v>159</v>
      </c>
      <c r="C54" s="34" t="s">
        <v>153</v>
      </c>
      <c r="D54" s="34" t="s">
        <v>149</v>
      </c>
      <c r="E54" s="34">
        <v>10</v>
      </c>
      <c r="F54" s="173" t="s">
        <v>150</v>
      </c>
      <c r="G54" s="173"/>
      <c r="H54" s="173"/>
      <c r="I54" s="173"/>
      <c r="J54" s="173"/>
      <c r="K54" s="173"/>
      <c r="L54" s="173"/>
    </row>
    <row r="55" spans="1:12" x14ac:dyDescent="0.25">
      <c r="A55" s="33">
        <f t="shared" si="0"/>
        <v>49</v>
      </c>
      <c r="B55" s="28" t="s">
        <v>217</v>
      </c>
      <c r="C55" s="34" t="s">
        <v>151</v>
      </c>
      <c r="D55" s="34" t="s">
        <v>152</v>
      </c>
      <c r="E55" s="34">
        <v>494</v>
      </c>
      <c r="F55" s="35">
        <v>0.47</v>
      </c>
      <c r="G55" s="36">
        <f>E55*F55</f>
        <v>232.17999999999998</v>
      </c>
      <c r="H55" s="40">
        <v>1.03</v>
      </c>
      <c r="I55" s="36">
        <f>E55*H55</f>
        <v>508.82</v>
      </c>
      <c r="J55" s="40">
        <v>0.67</v>
      </c>
      <c r="K55" s="36">
        <f>E55*J55</f>
        <v>330.98</v>
      </c>
      <c r="L55" s="36">
        <v>2470</v>
      </c>
    </row>
    <row r="56" spans="1:12" x14ac:dyDescent="0.25">
      <c r="A56" s="33">
        <f t="shared" si="0"/>
        <v>50</v>
      </c>
      <c r="B56" s="44" t="s">
        <v>154</v>
      </c>
      <c r="C56" s="45"/>
      <c r="D56" s="45"/>
      <c r="E56" s="45">
        <f>SUM(E54:E55)</f>
        <v>504</v>
      </c>
      <c r="F56" s="46"/>
      <c r="G56" s="47">
        <f>SUM(G54:G55)</f>
        <v>232.17999999999998</v>
      </c>
      <c r="H56" s="47"/>
      <c r="I56" s="47">
        <f>SUM(I54:I55)</f>
        <v>508.82</v>
      </c>
      <c r="J56" s="47"/>
      <c r="K56" s="47">
        <f>SUM(K54:K55)</f>
        <v>330.98</v>
      </c>
      <c r="L56" s="47">
        <f>SUM(L54:L55)</f>
        <v>2470</v>
      </c>
    </row>
    <row r="57" spans="1:12" x14ac:dyDescent="0.25">
      <c r="A57" s="33">
        <f t="shared" si="0"/>
        <v>51</v>
      </c>
      <c r="B57" s="41" t="s">
        <v>155</v>
      </c>
      <c r="C57" s="42"/>
      <c r="D57" s="42"/>
      <c r="E57" s="41">
        <f>E12+E40+E52+E56</f>
        <v>7940</v>
      </c>
      <c r="F57" s="41"/>
      <c r="G57" s="43">
        <f>G12+G40+G52+G56</f>
        <v>3777.5899999999988</v>
      </c>
      <c r="H57" s="43"/>
      <c r="I57" s="43">
        <f>I12+I40+I52+I56</f>
        <v>8255.5800000000017</v>
      </c>
      <c r="J57" s="43"/>
      <c r="K57" s="43">
        <f>K12+K40+K52+K56</f>
        <v>4649.0599999999995</v>
      </c>
      <c r="L57" s="43">
        <f>L12+L40+L52+L56</f>
        <v>40303</v>
      </c>
    </row>
    <row r="59" spans="1:12" x14ac:dyDescent="0.25">
      <c r="A59" s="6" t="s">
        <v>72</v>
      </c>
      <c r="B59" s="12"/>
    </row>
    <row r="60" spans="1:12" x14ac:dyDescent="0.25">
      <c r="A60" s="7">
        <v>1</v>
      </c>
      <c r="B60" s="16" t="s">
        <v>76</v>
      </c>
      <c r="C60" s="27"/>
      <c r="D60" s="27"/>
    </row>
  </sheetData>
  <mergeCells count="22">
    <mergeCell ref="F54:L54"/>
    <mergeCell ref="B53:L53"/>
    <mergeCell ref="F42:L42"/>
    <mergeCell ref="B41:L41"/>
    <mergeCell ref="F8:L8"/>
    <mergeCell ref="F14:L14"/>
    <mergeCell ref="F39:L39"/>
    <mergeCell ref="L3:L5"/>
    <mergeCell ref="B4:B5"/>
    <mergeCell ref="F4:F5"/>
    <mergeCell ref="G4:G5"/>
    <mergeCell ref="H4:H5"/>
    <mergeCell ref="I4:I5"/>
    <mergeCell ref="J3:K3"/>
    <mergeCell ref="J4:J5"/>
    <mergeCell ref="K4:K5"/>
    <mergeCell ref="H3:I3"/>
    <mergeCell ref="A3:A5"/>
    <mergeCell ref="C3:C5"/>
    <mergeCell ref="D3:D5"/>
    <mergeCell ref="E3:E5"/>
    <mergeCell ref="F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</dc:creator>
  <cp:lastModifiedBy>Mihkel</cp:lastModifiedBy>
  <dcterms:created xsi:type="dcterms:W3CDTF">2023-02-15T07:46:47Z</dcterms:created>
  <dcterms:modified xsi:type="dcterms:W3CDTF">2023-03-21T12:44:40Z</dcterms:modified>
</cp:coreProperties>
</file>